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tables/table6.xml" ContentType="application/vnd.openxmlformats-officedocument.spreadsheetml.table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4816"/>
  <workbookPr showInkAnnotation="0" autoCompressPictures="0"/>
  <bookViews>
    <workbookView xWindow="0" yWindow="0" windowWidth="25600" windowHeight="15540" tabRatio="500" firstSheet="1" activeTab="1"/>
  </bookViews>
  <sheets>
    <sheet name="RESUMEN" sheetId="15" r:id="rId1"/>
    <sheet name="RESUMEN INGRESOS" sheetId="16" r:id="rId2"/>
    <sheet name="Costos Unitarios" sheetId="6" r:id="rId3"/>
    <sheet name="Híbrido DELTA (2)" sheetId="12" r:id="rId4"/>
    <sheet name="Electrico DELTA" sheetId="13" r:id="rId5"/>
    <sheet name="Gas DELTA" sheetId="14" r:id="rId6"/>
    <sheet name="Híbrido DELTA" sheetId="11" r:id="rId7"/>
    <sheet name="Híbrido" sheetId="2" r:id="rId8"/>
    <sheet name="Diesel" sheetId="4" r:id="rId9"/>
    <sheet name="Consultas" sheetId="5" r:id="rId10"/>
    <sheet name="Draft" sheetId="1" state="hidden" r:id="rId11"/>
    <sheet name="Buses Variables" sheetId="7" state="hidden" r:id="rId12"/>
    <sheet name="RRHH y OP Híbrido" sheetId="9" r:id="rId13"/>
    <sheet name="Hoja3" sheetId="10" r:id="rId14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32" i="16" l="1"/>
  <c r="C44" i="16"/>
  <c r="D31" i="16"/>
  <c r="C43" i="16"/>
  <c r="D30" i="16"/>
  <c r="C42" i="16"/>
  <c r="D29" i="16"/>
  <c r="C41" i="16"/>
  <c r="D28" i="16"/>
  <c r="C40" i="16"/>
  <c r="D27" i="16"/>
  <c r="C39" i="16"/>
  <c r="D26" i="16"/>
  <c r="C38" i="16"/>
  <c r="D25" i="16"/>
  <c r="C37" i="16"/>
  <c r="E32" i="16"/>
  <c r="C32" i="16"/>
  <c r="E31" i="16"/>
  <c r="C31" i="16"/>
  <c r="E30" i="16"/>
  <c r="C30" i="16"/>
  <c r="E29" i="16"/>
  <c r="C29" i="16"/>
  <c r="E28" i="16"/>
  <c r="C28" i="16"/>
  <c r="E27" i="16"/>
  <c r="C27" i="16"/>
  <c r="E26" i="16"/>
  <c r="C26" i="16"/>
  <c r="E25" i="16"/>
  <c r="C25" i="16"/>
  <c r="N45" i="14"/>
  <c r="N46" i="14"/>
  <c r="N47" i="14"/>
  <c r="N48" i="14"/>
  <c r="N49" i="14"/>
  <c r="N50" i="14"/>
  <c r="N51" i="14"/>
  <c r="N52" i="14"/>
  <c r="N53" i="14"/>
  <c r="N44" i="14"/>
  <c r="N45" i="13"/>
  <c r="N46" i="13"/>
  <c r="N47" i="13"/>
  <c r="N48" i="13"/>
  <c r="N49" i="13"/>
  <c r="N50" i="13"/>
  <c r="N51" i="13"/>
  <c r="N52" i="13"/>
  <c r="N53" i="13"/>
  <c r="N44" i="13"/>
  <c r="C38" i="15"/>
  <c r="C39" i="15"/>
  <c r="C40" i="15"/>
  <c r="C41" i="15"/>
  <c r="C42" i="15"/>
  <c r="C43" i="15"/>
  <c r="C44" i="15"/>
  <c r="C37" i="15"/>
  <c r="C31" i="15"/>
  <c r="D31" i="15"/>
  <c r="E31" i="15"/>
  <c r="J29" i="15"/>
  <c r="I29" i="15"/>
  <c r="H29" i="15"/>
  <c r="E26" i="15"/>
  <c r="E27" i="15"/>
  <c r="E28" i="15"/>
  <c r="E29" i="15"/>
  <c r="E30" i="15"/>
  <c r="E32" i="15"/>
  <c r="P68" i="12"/>
  <c r="P69" i="12"/>
  <c r="P70" i="12"/>
  <c r="P71" i="12"/>
  <c r="P72" i="12"/>
  <c r="P73" i="12"/>
  <c r="P74" i="12"/>
  <c r="P75" i="12"/>
  <c r="P76" i="12"/>
  <c r="P67" i="12"/>
  <c r="E25" i="15"/>
  <c r="D26" i="15"/>
  <c r="D27" i="15"/>
  <c r="D28" i="15"/>
  <c r="D29" i="15"/>
  <c r="D30" i="15"/>
  <c r="D32" i="15"/>
  <c r="D25" i="15"/>
  <c r="N45" i="12"/>
  <c r="N46" i="12"/>
  <c r="N47" i="12"/>
  <c r="N48" i="12"/>
  <c r="N49" i="12"/>
  <c r="N50" i="12"/>
  <c r="N51" i="12"/>
  <c r="N52" i="12"/>
  <c r="N53" i="12"/>
  <c r="N44" i="12"/>
  <c r="C26" i="15"/>
  <c r="C27" i="15"/>
  <c r="C28" i="15"/>
  <c r="C29" i="15"/>
  <c r="C30" i="15"/>
  <c r="C32" i="15"/>
  <c r="C25" i="15"/>
  <c r="I32" i="12"/>
  <c r="I31" i="12"/>
  <c r="I30" i="12"/>
  <c r="I29" i="12"/>
  <c r="I28" i="12"/>
  <c r="I27" i="12"/>
  <c r="I26" i="12"/>
  <c r="I25" i="12"/>
  <c r="I24" i="12"/>
  <c r="I23" i="12"/>
  <c r="I22" i="12"/>
  <c r="I21" i="12"/>
  <c r="E72" i="14"/>
  <c r="F72" i="14"/>
  <c r="G72" i="14"/>
  <c r="H72" i="14"/>
  <c r="I72" i="14"/>
  <c r="J72" i="14"/>
  <c r="K72" i="14"/>
  <c r="L72" i="14"/>
  <c r="M72" i="14"/>
  <c r="N72" i="14"/>
  <c r="O72" i="14"/>
  <c r="D72" i="14"/>
  <c r="O70" i="14"/>
  <c r="N70" i="14"/>
  <c r="M70" i="14"/>
  <c r="L70" i="14"/>
  <c r="K70" i="14"/>
  <c r="J70" i="14"/>
  <c r="I70" i="14"/>
  <c r="H70" i="14"/>
  <c r="G70" i="14"/>
  <c r="F70" i="14"/>
  <c r="E70" i="14"/>
  <c r="F67" i="14"/>
  <c r="G67" i="14"/>
  <c r="H67" i="14"/>
  <c r="I67" i="14"/>
  <c r="J67" i="14"/>
  <c r="K67" i="14"/>
  <c r="L67" i="14"/>
  <c r="M67" i="14"/>
  <c r="N67" i="14"/>
  <c r="O67" i="14"/>
  <c r="E67" i="14"/>
  <c r="D76" i="14"/>
  <c r="D75" i="14"/>
  <c r="D74" i="14"/>
  <c r="D73" i="14"/>
  <c r="D70" i="14"/>
  <c r="D67" i="14"/>
  <c r="D44" i="14"/>
  <c r="D47" i="14"/>
  <c r="D49" i="14"/>
  <c r="D50" i="14"/>
  <c r="D51" i="14"/>
  <c r="D52" i="14"/>
  <c r="D53" i="14"/>
  <c r="E54" i="14"/>
  <c r="F54" i="14"/>
  <c r="G54" i="14"/>
  <c r="H54" i="14"/>
  <c r="I54" i="14"/>
  <c r="J54" i="14"/>
  <c r="K54" i="14"/>
  <c r="L54" i="14"/>
  <c r="M54" i="14"/>
  <c r="D54" i="14"/>
  <c r="M49" i="14"/>
  <c r="L49" i="14"/>
  <c r="K49" i="14"/>
  <c r="J49" i="14"/>
  <c r="I49" i="14"/>
  <c r="H49" i="14"/>
  <c r="G49" i="14"/>
  <c r="F49" i="14"/>
  <c r="E49" i="14"/>
  <c r="M47" i="14"/>
  <c r="L47" i="14"/>
  <c r="K47" i="14"/>
  <c r="J47" i="14"/>
  <c r="I47" i="14"/>
  <c r="H47" i="14"/>
  <c r="G47" i="14"/>
  <c r="F47" i="14"/>
  <c r="E47" i="14"/>
  <c r="F44" i="14"/>
  <c r="G44" i="14"/>
  <c r="H44" i="14"/>
  <c r="I44" i="14"/>
  <c r="J44" i="14"/>
  <c r="K44" i="14"/>
  <c r="L44" i="14"/>
  <c r="M44" i="14"/>
  <c r="E44" i="14"/>
  <c r="H53" i="14"/>
  <c r="G53" i="14"/>
  <c r="F53" i="14"/>
  <c r="E53" i="14"/>
  <c r="H52" i="14"/>
  <c r="G52" i="14"/>
  <c r="F52" i="14"/>
  <c r="E52" i="14"/>
  <c r="H51" i="14"/>
  <c r="G51" i="14"/>
  <c r="F51" i="14"/>
  <c r="E51" i="14"/>
  <c r="H50" i="14"/>
  <c r="G50" i="14"/>
  <c r="F50" i="14"/>
  <c r="E50" i="14"/>
  <c r="E26" i="14"/>
  <c r="F26" i="14"/>
  <c r="G26" i="14"/>
  <c r="H26" i="14"/>
  <c r="D26" i="14"/>
  <c r="F21" i="14"/>
  <c r="G21" i="14"/>
  <c r="H21" i="14"/>
  <c r="E21" i="14"/>
  <c r="D21" i="14"/>
  <c r="D24" i="14"/>
  <c r="E24" i="14"/>
  <c r="F24" i="14"/>
  <c r="G24" i="14"/>
  <c r="H24" i="14"/>
  <c r="C3" i="14"/>
  <c r="H11" i="14"/>
  <c r="D78" i="14"/>
  <c r="D77" i="14"/>
  <c r="D79" i="14"/>
  <c r="D81" i="14"/>
  <c r="E78" i="14"/>
  <c r="E73" i="14"/>
  <c r="E74" i="14"/>
  <c r="E75" i="14"/>
  <c r="E76" i="14"/>
  <c r="E77" i="14"/>
  <c r="E79" i="14"/>
  <c r="E81" i="14"/>
  <c r="F78" i="14"/>
  <c r="F73" i="14"/>
  <c r="F74" i="14"/>
  <c r="F75" i="14"/>
  <c r="F76" i="14"/>
  <c r="F77" i="14"/>
  <c r="F79" i="14"/>
  <c r="F81" i="14"/>
  <c r="G78" i="14"/>
  <c r="G73" i="14"/>
  <c r="G74" i="14"/>
  <c r="G75" i="14"/>
  <c r="G76" i="14"/>
  <c r="G77" i="14"/>
  <c r="G79" i="14"/>
  <c r="G81" i="14"/>
  <c r="H78" i="14"/>
  <c r="H73" i="14"/>
  <c r="H74" i="14"/>
  <c r="H75" i="14"/>
  <c r="H76" i="14"/>
  <c r="H77" i="14"/>
  <c r="H79" i="14"/>
  <c r="H81" i="14"/>
  <c r="I78" i="14"/>
  <c r="I73" i="14"/>
  <c r="I74" i="14"/>
  <c r="I75" i="14"/>
  <c r="I76" i="14"/>
  <c r="I77" i="14"/>
  <c r="I79" i="14"/>
  <c r="I81" i="14"/>
  <c r="J78" i="14"/>
  <c r="J73" i="14"/>
  <c r="J74" i="14"/>
  <c r="J75" i="14"/>
  <c r="J76" i="14"/>
  <c r="J77" i="14"/>
  <c r="J79" i="14"/>
  <c r="J81" i="14"/>
  <c r="K78" i="14"/>
  <c r="K73" i="14"/>
  <c r="K74" i="14"/>
  <c r="K75" i="14"/>
  <c r="K76" i="14"/>
  <c r="K77" i="14"/>
  <c r="K79" i="14"/>
  <c r="K81" i="14"/>
  <c r="L78" i="14"/>
  <c r="L73" i="14"/>
  <c r="L74" i="14"/>
  <c r="L75" i="14"/>
  <c r="L76" i="14"/>
  <c r="L77" i="14"/>
  <c r="L79" i="14"/>
  <c r="L81" i="14"/>
  <c r="M78" i="14"/>
  <c r="M73" i="14"/>
  <c r="M74" i="14"/>
  <c r="M75" i="14"/>
  <c r="M76" i="14"/>
  <c r="M77" i="14"/>
  <c r="M79" i="14"/>
  <c r="M81" i="14"/>
  <c r="N78" i="14"/>
  <c r="N73" i="14"/>
  <c r="N74" i="14"/>
  <c r="N75" i="14"/>
  <c r="N76" i="14"/>
  <c r="N77" i="14"/>
  <c r="N79" i="14"/>
  <c r="N81" i="14"/>
  <c r="O78" i="14"/>
  <c r="O73" i="14"/>
  <c r="O74" i="14"/>
  <c r="O75" i="14"/>
  <c r="O76" i="14"/>
  <c r="O77" i="14"/>
  <c r="O79" i="14"/>
  <c r="O81" i="14"/>
  <c r="D83" i="14"/>
  <c r="G11" i="14"/>
  <c r="D55" i="14"/>
  <c r="D56" i="14"/>
  <c r="D58" i="14"/>
  <c r="E55" i="14"/>
  <c r="E56" i="14"/>
  <c r="E58" i="14"/>
  <c r="F55" i="14"/>
  <c r="F56" i="14"/>
  <c r="F58" i="14"/>
  <c r="G55" i="14"/>
  <c r="G56" i="14"/>
  <c r="G58" i="14"/>
  <c r="H55" i="14"/>
  <c r="H56" i="14"/>
  <c r="H58" i="14"/>
  <c r="I55" i="14"/>
  <c r="I50" i="14"/>
  <c r="I51" i="14"/>
  <c r="I52" i="14"/>
  <c r="I56" i="14"/>
  <c r="I58" i="14"/>
  <c r="J55" i="14"/>
  <c r="J50" i="14"/>
  <c r="J51" i="14"/>
  <c r="J52" i="14"/>
  <c r="J56" i="14"/>
  <c r="J58" i="14"/>
  <c r="K55" i="14"/>
  <c r="K50" i="14"/>
  <c r="K51" i="14"/>
  <c r="K52" i="14"/>
  <c r="K56" i="14"/>
  <c r="K58" i="14"/>
  <c r="L55" i="14"/>
  <c r="L50" i="14"/>
  <c r="L51" i="14"/>
  <c r="L52" i="14"/>
  <c r="L56" i="14"/>
  <c r="L58" i="14"/>
  <c r="M55" i="14"/>
  <c r="M50" i="14"/>
  <c r="M51" i="14"/>
  <c r="M52" i="14"/>
  <c r="M56" i="14"/>
  <c r="M58" i="14"/>
  <c r="D60" i="14"/>
  <c r="M53" i="14"/>
  <c r="L53" i="14"/>
  <c r="K53" i="14"/>
  <c r="J53" i="14"/>
  <c r="I53" i="14"/>
  <c r="F11" i="14"/>
  <c r="D32" i="14"/>
  <c r="D27" i="14"/>
  <c r="D28" i="14"/>
  <c r="D29" i="14"/>
  <c r="D31" i="14"/>
  <c r="D33" i="14"/>
  <c r="D35" i="14"/>
  <c r="E32" i="14"/>
  <c r="E27" i="14"/>
  <c r="E28" i="14"/>
  <c r="E29" i="14"/>
  <c r="E31" i="14"/>
  <c r="E33" i="14"/>
  <c r="E35" i="14"/>
  <c r="F32" i="14"/>
  <c r="F27" i="14"/>
  <c r="F28" i="14"/>
  <c r="F29" i="14"/>
  <c r="F31" i="14"/>
  <c r="F33" i="14"/>
  <c r="F35" i="14"/>
  <c r="G32" i="14"/>
  <c r="G27" i="14"/>
  <c r="G28" i="14"/>
  <c r="G29" i="14"/>
  <c r="G31" i="14"/>
  <c r="G33" i="14"/>
  <c r="G35" i="14"/>
  <c r="H32" i="14"/>
  <c r="H27" i="14"/>
  <c r="H28" i="14"/>
  <c r="H29" i="14"/>
  <c r="H31" i="14"/>
  <c r="H33" i="14"/>
  <c r="H35" i="14"/>
  <c r="D37" i="14"/>
  <c r="H30" i="14"/>
  <c r="G30" i="14"/>
  <c r="F30" i="14"/>
  <c r="E30" i="14"/>
  <c r="D30" i="14"/>
  <c r="H11" i="13"/>
  <c r="E78" i="13"/>
  <c r="E79" i="13"/>
  <c r="E81" i="13"/>
  <c r="F78" i="13"/>
  <c r="F79" i="13"/>
  <c r="F81" i="13"/>
  <c r="G78" i="13"/>
  <c r="G79" i="13"/>
  <c r="G81" i="13"/>
  <c r="H78" i="13"/>
  <c r="H79" i="13"/>
  <c r="H81" i="13"/>
  <c r="I78" i="13"/>
  <c r="I79" i="13"/>
  <c r="I81" i="13"/>
  <c r="J78" i="13"/>
  <c r="J79" i="13"/>
  <c r="J81" i="13"/>
  <c r="K78" i="13"/>
  <c r="K79" i="13"/>
  <c r="K81" i="13"/>
  <c r="L78" i="13"/>
  <c r="L79" i="13"/>
  <c r="L81" i="13"/>
  <c r="M78" i="13"/>
  <c r="M79" i="13"/>
  <c r="M81" i="13"/>
  <c r="N78" i="13"/>
  <c r="N79" i="13"/>
  <c r="N81" i="13"/>
  <c r="O78" i="13"/>
  <c r="O79" i="13"/>
  <c r="O81" i="13"/>
  <c r="D78" i="13"/>
  <c r="E77" i="13"/>
  <c r="F77" i="13"/>
  <c r="G77" i="13"/>
  <c r="H77" i="13"/>
  <c r="I77" i="13"/>
  <c r="J77" i="13"/>
  <c r="K77" i="13"/>
  <c r="L77" i="13"/>
  <c r="M77" i="13"/>
  <c r="N77" i="13"/>
  <c r="O77" i="13"/>
  <c r="F46" i="13"/>
  <c r="G46" i="13"/>
  <c r="H46" i="13"/>
  <c r="I46" i="13"/>
  <c r="J46" i="13"/>
  <c r="K46" i="13"/>
  <c r="L46" i="13"/>
  <c r="M46" i="13"/>
  <c r="E46" i="13"/>
  <c r="D46" i="13"/>
  <c r="K12" i="13"/>
  <c r="D23" i="13"/>
  <c r="E23" i="13"/>
  <c r="G23" i="13"/>
  <c r="H23" i="13"/>
  <c r="F23" i="13"/>
  <c r="D21" i="13"/>
  <c r="D31" i="12"/>
  <c r="D28" i="12"/>
  <c r="D23" i="12"/>
  <c r="D22" i="12"/>
  <c r="D21" i="12"/>
  <c r="K13" i="13"/>
  <c r="C7" i="13"/>
  <c r="D28" i="13"/>
  <c r="D51" i="13"/>
  <c r="D74" i="13"/>
  <c r="D69" i="13"/>
  <c r="D77" i="13"/>
  <c r="D79" i="13"/>
  <c r="D81" i="13"/>
  <c r="E74" i="13"/>
  <c r="E69" i="13"/>
  <c r="F74" i="13"/>
  <c r="F69" i="13"/>
  <c r="G74" i="13"/>
  <c r="G69" i="13"/>
  <c r="H74" i="13"/>
  <c r="H69" i="13"/>
  <c r="I74" i="13"/>
  <c r="I69" i="13"/>
  <c r="J74" i="13"/>
  <c r="J69" i="13"/>
  <c r="K74" i="13"/>
  <c r="K69" i="13"/>
  <c r="L74" i="13"/>
  <c r="L69" i="13"/>
  <c r="M74" i="13"/>
  <c r="M69" i="13"/>
  <c r="N74" i="13"/>
  <c r="N69" i="13"/>
  <c r="O74" i="13"/>
  <c r="O69" i="13"/>
  <c r="D67" i="13"/>
  <c r="F72" i="13"/>
  <c r="G72" i="13"/>
  <c r="H72" i="13"/>
  <c r="I72" i="13"/>
  <c r="J72" i="13"/>
  <c r="K72" i="13"/>
  <c r="L72" i="13"/>
  <c r="M72" i="13"/>
  <c r="N72" i="13"/>
  <c r="O72" i="13"/>
  <c r="E72" i="13"/>
  <c r="D72" i="13"/>
  <c r="F71" i="13"/>
  <c r="G71" i="13"/>
  <c r="H71" i="13"/>
  <c r="I71" i="13"/>
  <c r="J71" i="13"/>
  <c r="K71" i="13"/>
  <c r="L71" i="13"/>
  <c r="M71" i="13"/>
  <c r="N71" i="13"/>
  <c r="O71" i="13"/>
  <c r="E71" i="13"/>
  <c r="D71" i="13"/>
  <c r="F70" i="13"/>
  <c r="G70" i="13"/>
  <c r="H70" i="13"/>
  <c r="I70" i="13"/>
  <c r="J70" i="13"/>
  <c r="K70" i="13"/>
  <c r="L70" i="13"/>
  <c r="M70" i="13"/>
  <c r="N70" i="13"/>
  <c r="O70" i="13"/>
  <c r="E70" i="13"/>
  <c r="D70" i="13"/>
  <c r="F68" i="13"/>
  <c r="G68" i="13"/>
  <c r="H68" i="13"/>
  <c r="I68" i="13"/>
  <c r="J68" i="13"/>
  <c r="K68" i="13"/>
  <c r="L68" i="13"/>
  <c r="M68" i="13"/>
  <c r="N68" i="13"/>
  <c r="O68" i="13"/>
  <c r="E68" i="13"/>
  <c r="D68" i="13"/>
  <c r="F67" i="13"/>
  <c r="G67" i="13"/>
  <c r="H67" i="13"/>
  <c r="I67" i="13"/>
  <c r="J67" i="13"/>
  <c r="K67" i="13"/>
  <c r="L67" i="13"/>
  <c r="M67" i="13"/>
  <c r="N67" i="13"/>
  <c r="O67" i="13"/>
  <c r="E67" i="13"/>
  <c r="E51" i="13"/>
  <c r="E54" i="13"/>
  <c r="F51" i="13"/>
  <c r="F54" i="13"/>
  <c r="G51" i="13"/>
  <c r="G54" i="13"/>
  <c r="H51" i="13"/>
  <c r="H54" i="13"/>
  <c r="I51" i="13"/>
  <c r="I54" i="13"/>
  <c r="J51" i="13"/>
  <c r="J54" i="13"/>
  <c r="K51" i="13"/>
  <c r="K54" i="13"/>
  <c r="L51" i="13"/>
  <c r="L54" i="13"/>
  <c r="M51" i="13"/>
  <c r="M54" i="13"/>
  <c r="D54" i="13"/>
  <c r="G11" i="13"/>
  <c r="D55" i="13"/>
  <c r="F48" i="13"/>
  <c r="G48" i="13"/>
  <c r="H48" i="13"/>
  <c r="I48" i="13"/>
  <c r="J48" i="13"/>
  <c r="K48" i="13"/>
  <c r="L48" i="13"/>
  <c r="M48" i="13"/>
  <c r="E48" i="13"/>
  <c r="D48" i="13"/>
  <c r="E49" i="13"/>
  <c r="F49" i="13"/>
  <c r="G49" i="13"/>
  <c r="H49" i="13"/>
  <c r="I49" i="13"/>
  <c r="J49" i="13"/>
  <c r="K49" i="13"/>
  <c r="L49" i="13"/>
  <c r="M49" i="13"/>
  <c r="D49" i="13"/>
  <c r="F45" i="13"/>
  <c r="G45" i="13"/>
  <c r="H45" i="13"/>
  <c r="I45" i="13"/>
  <c r="J45" i="13"/>
  <c r="K45" i="13"/>
  <c r="L45" i="13"/>
  <c r="M45" i="13"/>
  <c r="E45" i="13"/>
  <c r="D45" i="13"/>
  <c r="F47" i="13"/>
  <c r="G47" i="13"/>
  <c r="H47" i="13"/>
  <c r="I47" i="13"/>
  <c r="J47" i="13"/>
  <c r="K47" i="13"/>
  <c r="L47" i="13"/>
  <c r="M47" i="13"/>
  <c r="E47" i="13"/>
  <c r="D47" i="13"/>
  <c r="D25" i="13"/>
  <c r="F44" i="13"/>
  <c r="G44" i="13"/>
  <c r="H44" i="13"/>
  <c r="I44" i="13"/>
  <c r="J44" i="13"/>
  <c r="K44" i="13"/>
  <c r="L44" i="13"/>
  <c r="M44" i="13"/>
  <c r="E44" i="13"/>
  <c r="L5" i="13"/>
  <c r="L4" i="13"/>
  <c r="K4" i="13"/>
  <c r="K5" i="13"/>
  <c r="D44" i="13"/>
  <c r="F11" i="13"/>
  <c r="L9" i="13"/>
  <c r="E26" i="13"/>
  <c r="F26" i="13"/>
  <c r="G26" i="13"/>
  <c r="H26" i="13"/>
  <c r="D26" i="13"/>
  <c r="F21" i="13"/>
  <c r="G21" i="13"/>
  <c r="H21" i="13"/>
  <c r="E21" i="13"/>
  <c r="K3" i="13"/>
  <c r="L3" i="13"/>
  <c r="M36" i="6"/>
  <c r="N36" i="6"/>
  <c r="L36" i="6"/>
  <c r="E24" i="13"/>
  <c r="F24" i="13"/>
  <c r="G24" i="13"/>
  <c r="H24" i="13"/>
  <c r="D24" i="13"/>
  <c r="E22" i="13"/>
  <c r="F22" i="13"/>
  <c r="G22" i="13"/>
  <c r="H22" i="13"/>
  <c r="D22" i="13"/>
  <c r="C3" i="13"/>
  <c r="D73" i="13"/>
  <c r="D75" i="13"/>
  <c r="D76" i="13"/>
  <c r="E73" i="13"/>
  <c r="E75" i="13"/>
  <c r="E76" i="13"/>
  <c r="F73" i="13"/>
  <c r="F75" i="13"/>
  <c r="F76" i="13"/>
  <c r="G73" i="13"/>
  <c r="G75" i="13"/>
  <c r="G76" i="13"/>
  <c r="H73" i="13"/>
  <c r="H75" i="13"/>
  <c r="H76" i="13"/>
  <c r="I73" i="13"/>
  <c r="I75" i="13"/>
  <c r="I76" i="13"/>
  <c r="J73" i="13"/>
  <c r="J75" i="13"/>
  <c r="J76" i="13"/>
  <c r="K73" i="13"/>
  <c r="K75" i="13"/>
  <c r="K76" i="13"/>
  <c r="L73" i="13"/>
  <c r="L75" i="13"/>
  <c r="L76" i="13"/>
  <c r="M73" i="13"/>
  <c r="M75" i="13"/>
  <c r="M76" i="13"/>
  <c r="N73" i="13"/>
  <c r="N75" i="13"/>
  <c r="N76" i="13"/>
  <c r="O73" i="13"/>
  <c r="O75" i="13"/>
  <c r="O76" i="13"/>
  <c r="D83" i="13"/>
  <c r="D50" i="13"/>
  <c r="D52" i="13"/>
  <c r="D56" i="13"/>
  <c r="D58" i="13"/>
  <c r="E55" i="13"/>
  <c r="E50" i="13"/>
  <c r="E52" i="13"/>
  <c r="E56" i="13"/>
  <c r="E58" i="13"/>
  <c r="F55" i="13"/>
  <c r="F50" i="13"/>
  <c r="F52" i="13"/>
  <c r="F56" i="13"/>
  <c r="F58" i="13"/>
  <c r="G55" i="13"/>
  <c r="G50" i="13"/>
  <c r="G52" i="13"/>
  <c r="G56" i="13"/>
  <c r="G58" i="13"/>
  <c r="H55" i="13"/>
  <c r="H50" i="13"/>
  <c r="H52" i="13"/>
  <c r="H56" i="13"/>
  <c r="H58" i="13"/>
  <c r="I55" i="13"/>
  <c r="I50" i="13"/>
  <c r="I52" i="13"/>
  <c r="I56" i="13"/>
  <c r="I58" i="13"/>
  <c r="J55" i="13"/>
  <c r="J50" i="13"/>
  <c r="J52" i="13"/>
  <c r="J56" i="13"/>
  <c r="J58" i="13"/>
  <c r="K55" i="13"/>
  <c r="K50" i="13"/>
  <c r="K52" i="13"/>
  <c r="K56" i="13"/>
  <c r="K58" i="13"/>
  <c r="L55" i="13"/>
  <c r="L50" i="13"/>
  <c r="L52" i="13"/>
  <c r="L56" i="13"/>
  <c r="L58" i="13"/>
  <c r="M55" i="13"/>
  <c r="M50" i="13"/>
  <c r="M52" i="13"/>
  <c r="M56" i="13"/>
  <c r="M58" i="13"/>
  <c r="D60" i="13"/>
  <c r="M53" i="13"/>
  <c r="L53" i="13"/>
  <c r="K53" i="13"/>
  <c r="J53" i="13"/>
  <c r="I53" i="13"/>
  <c r="H53" i="13"/>
  <c r="G53" i="13"/>
  <c r="F53" i="13"/>
  <c r="E53" i="13"/>
  <c r="D53" i="13"/>
  <c r="D32" i="13"/>
  <c r="D27" i="13"/>
  <c r="D29" i="13"/>
  <c r="D31" i="13"/>
  <c r="D33" i="13"/>
  <c r="D35" i="13"/>
  <c r="E32" i="13"/>
  <c r="E25" i="13"/>
  <c r="E27" i="13"/>
  <c r="E28" i="13"/>
  <c r="E29" i="13"/>
  <c r="E31" i="13"/>
  <c r="E33" i="13"/>
  <c r="E35" i="13"/>
  <c r="F32" i="13"/>
  <c r="F25" i="13"/>
  <c r="F27" i="13"/>
  <c r="F28" i="13"/>
  <c r="F29" i="13"/>
  <c r="F31" i="13"/>
  <c r="F33" i="13"/>
  <c r="F35" i="13"/>
  <c r="G32" i="13"/>
  <c r="G25" i="13"/>
  <c r="G27" i="13"/>
  <c r="G28" i="13"/>
  <c r="G29" i="13"/>
  <c r="G31" i="13"/>
  <c r="G33" i="13"/>
  <c r="G35" i="13"/>
  <c r="H32" i="13"/>
  <c r="H25" i="13"/>
  <c r="H27" i="13"/>
  <c r="H28" i="13"/>
  <c r="H29" i="13"/>
  <c r="H31" i="13"/>
  <c r="H33" i="13"/>
  <c r="H35" i="13"/>
  <c r="D37" i="13"/>
  <c r="C10" i="13"/>
  <c r="C3" i="12"/>
  <c r="H11" i="12"/>
  <c r="I78" i="12"/>
  <c r="I67" i="12"/>
  <c r="I68" i="12"/>
  <c r="I69" i="12"/>
  <c r="I70" i="12"/>
  <c r="I71" i="12"/>
  <c r="I72" i="12"/>
  <c r="I74" i="12"/>
  <c r="I75" i="12"/>
  <c r="I77" i="12"/>
  <c r="I79" i="12"/>
  <c r="I81" i="12"/>
  <c r="J78" i="12"/>
  <c r="J67" i="12"/>
  <c r="J68" i="12"/>
  <c r="J69" i="12"/>
  <c r="J70" i="12"/>
  <c r="J71" i="12"/>
  <c r="J72" i="12"/>
  <c r="J74" i="12"/>
  <c r="J75" i="12"/>
  <c r="J77" i="12"/>
  <c r="J79" i="12"/>
  <c r="J81" i="12"/>
  <c r="K78" i="12"/>
  <c r="K67" i="12"/>
  <c r="K68" i="12"/>
  <c r="K69" i="12"/>
  <c r="K70" i="12"/>
  <c r="K71" i="12"/>
  <c r="K72" i="12"/>
  <c r="K74" i="12"/>
  <c r="K75" i="12"/>
  <c r="K77" i="12"/>
  <c r="K79" i="12"/>
  <c r="K81" i="12"/>
  <c r="L78" i="12"/>
  <c r="L67" i="12"/>
  <c r="L68" i="12"/>
  <c r="L69" i="12"/>
  <c r="L70" i="12"/>
  <c r="L71" i="12"/>
  <c r="L72" i="12"/>
  <c r="L74" i="12"/>
  <c r="L75" i="12"/>
  <c r="L77" i="12"/>
  <c r="L79" i="12"/>
  <c r="L81" i="12"/>
  <c r="M78" i="12"/>
  <c r="M67" i="12"/>
  <c r="M68" i="12"/>
  <c r="M69" i="12"/>
  <c r="M70" i="12"/>
  <c r="M71" i="12"/>
  <c r="M72" i="12"/>
  <c r="M74" i="12"/>
  <c r="M75" i="12"/>
  <c r="M77" i="12"/>
  <c r="M79" i="12"/>
  <c r="M81" i="12"/>
  <c r="N78" i="12"/>
  <c r="N67" i="12"/>
  <c r="N68" i="12"/>
  <c r="N69" i="12"/>
  <c r="N70" i="12"/>
  <c r="N71" i="12"/>
  <c r="N72" i="12"/>
  <c r="N74" i="12"/>
  <c r="N75" i="12"/>
  <c r="N77" i="12"/>
  <c r="N79" i="12"/>
  <c r="N81" i="12"/>
  <c r="O78" i="12"/>
  <c r="O67" i="12"/>
  <c r="O68" i="12"/>
  <c r="O69" i="12"/>
  <c r="O70" i="12"/>
  <c r="O71" i="12"/>
  <c r="O72" i="12"/>
  <c r="O74" i="12"/>
  <c r="O75" i="12"/>
  <c r="O77" i="12"/>
  <c r="O79" i="12"/>
  <c r="O81" i="12"/>
  <c r="E78" i="12"/>
  <c r="E67" i="12"/>
  <c r="E68" i="12"/>
  <c r="E69" i="12"/>
  <c r="E70" i="12"/>
  <c r="E71" i="12"/>
  <c r="E72" i="12"/>
  <c r="E74" i="12"/>
  <c r="E75" i="12"/>
  <c r="E77" i="12"/>
  <c r="E79" i="12"/>
  <c r="F78" i="12"/>
  <c r="F67" i="12"/>
  <c r="F68" i="12"/>
  <c r="F69" i="12"/>
  <c r="F70" i="12"/>
  <c r="F71" i="12"/>
  <c r="F72" i="12"/>
  <c r="F74" i="12"/>
  <c r="F75" i="12"/>
  <c r="F77" i="12"/>
  <c r="F79" i="12"/>
  <c r="G78" i="12"/>
  <c r="G67" i="12"/>
  <c r="G68" i="12"/>
  <c r="G69" i="12"/>
  <c r="G70" i="12"/>
  <c r="G71" i="12"/>
  <c r="G72" i="12"/>
  <c r="G74" i="12"/>
  <c r="G75" i="12"/>
  <c r="G77" i="12"/>
  <c r="G79" i="12"/>
  <c r="H78" i="12"/>
  <c r="H67" i="12"/>
  <c r="H68" i="12"/>
  <c r="H69" i="12"/>
  <c r="H70" i="12"/>
  <c r="H71" i="12"/>
  <c r="H72" i="12"/>
  <c r="H74" i="12"/>
  <c r="H75" i="12"/>
  <c r="H77" i="12"/>
  <c r="H79" i="12"/>
  <c r="D67" i="12"/>
  <c r="D68" i="12"/>
  <c r="D69" i="12"/>
  <c r="D70" i="12"/>
  <c r="D71" i="12"/>
  <c r="D72" i="12"/>
  <c r="D74" i="12"/>
  <c r="D75" i="12"/>
  <c r="D77" i="12"/>
  <c r="D78" i="12"/>
  <c r="G11" i="12"/>
  <c r="D55" i="12"/>
  <c r="D79" i="12"/>
  <c r="D81" i="12"/>
  <c r="E81" i="12"/>
  <c r="F81" i="12"/>
  <c r="G81" i="12"/>
  <c r="H81" i="12"/>
  <c r="D83" i="12"/>
  <c r="N73" i="12"/>
  <c r="O73" i="12"/>
  <c r="N76" i="12"/>
  <c r="O76" i="12"/>
  <c r="D73" i="12"/>
  <c r="E73" i="12"/>
  <c r="F73" i="12"/>
  <c r="G73" i="12"/>
  <c r="H73" i="12"/>
  <c r="I73" i="12"/>
  <c r="J73" i="12"/>
  <c r="K73" i="12"/>
  <c r="L73" i="12"/>
  <c r="M73" i="12"/>
  <c r="M76" i="12"/>
  <c r="L76" i="12"/>
  <c r="K76" i="12"/>
  <c r="J76" i="12"/>
  <c r="I76" i="12"/>
  <c r="H76" i="12"/>
  <c r="G76" i="12"/>
  <c r="F76" i="12"/>
  <c r="E76" i="12"/>
  <c r="D76" i="12"/>
  <c r="D44" i="12"/>
  <c r="D45" i="12"/>
  <c r="D46" i="12"/>
  <c r="D47" i="12"/>
  <c r="D48" i="12"/>
  <c r="D49" i="12"/>
  <c r="D51" i="12"/>
  <c r="D52" i="12"/>
  <c r="D54" i="12"/>
  <c r="D56" i="12"/>
  <c r="D58" i="12"/>
  <c r="E55" i="12"/>
  <c r="E44" i="12"/>
  <c r="E45" i="12"/>
  <c r="E46" i="12"/>
  <c r="E47" i="12"/>
  <c r="E48" i="12"/>
  <c r="E49" i="12"/>
  <c r="E51" i="12"/>
  <c r="E52" i="12"/>
  <c r="E54" i="12"/>
  <c r="E56" i="12"/>
  <c r="E58" i="12"/>
  <c r="F55" i="12"/>
  <c r="F44" i="12"/>
  <c r="F45" i="12"/>
  <c r="F46" i="12"/>
  <c r="F47" i="12"/>
  <c r="F48" i="12"/>
  <c r="F49" i="12"/>
  <c r="F51" i="12"/>
  <c r="F52" i="12"/>
  <c r="F54" i="12"/>
  <c r="F56" i="12"/>
  <c r="F58" i="12"/>
  <c r="G55" i="12"/>
  <c r="G44" i="12"/>
  <c r="G45" i="12"/>
  <c r="G46" i="12"/>
  <c r="G47" i="12"/>
  <c r="G48" i="12"/>
  <c r="G49" i="12"/>
  <c r="G51" i="12"/>
  <c r="G52" i="12"/>
  <c r="G54" i="12"/>
  <c r="G56" i="12"/>
  <c r="G58" i="12"/>
  <c r="H55" i="12"/>
  <c r="H44" i="12"/>
  <c r="H45" i="12"/>
  <c r="H46" i="12"/>
  <c r="H47" i="12"/>
  <c r="H48" i="12"/>
  <c r="H49" i="12"/>
  <c r="H51" i="12"/>
  <c r="H52" i="12"/>
  <c r="H54" i="12"/>
  <c r="H56" i="12"/>
  <c r="H58" i="12"/>
  <c r="I55" i="12"/>
  <c r="I44" i="12"/>
  <c r="I45" i="12"/>
  <c r="I46" i="12"/>
  <c r="I47" i="12"/>
  <c r="I48" i="12"/>
  <c r="I49" i="12"/>
  <c r="I51" i="12"/>
  <c r="I52" i="12"/>
  <c r="I54" i="12"/>
  <c r="I56" i="12"/>
  <c r="I58" i="12"/>
  <c r="J55" i="12"/>
  <c r="J44" i="12"/>
  <c r="J45" i="12"/>
  <c r="J46" i="12"/>
  <c r="J47" i="12"/>
  <c r="J48" i="12"/>
  <c r="J49" i="12"/>
  <c r="J51" i="12"/>
  <c r="J52" i="12"/>
  <c r="J54" i="12"/>
  <c r="J56" i="12"/>
  <c r="J58" i="12"/>
  <c r="K55" i="12"/>
  <c r="K44" i="12"/>
  <c r="K45" i="12"/>
  <c r="K46" i="12"/>
  <c r="K47" i="12"/>
  <c r="K48" i="12"/>
  <c r="K49" i="12"/>
  <c r="K51" i="12"/>
  <c r="K52" i="12"/>
  <c r="K54" i="12"/>
  <c r="K56" i="12"/>
  <c r="K58" i="12"/>
  <c r="L55" i="12"/>
  <c r="L44" i="12"/>
  <c r="L45" i="12"/>
  <c r="L46" i="12"/>
  <c r="L47" i="12"/>
  <c r="L48" i="12"/>
  <c r="L49" i="12"/>
  <c r="L51" i="12"/>
  <c r="L52" i="12"/>
  <c r="L54" i="12"/>
  <c r="L56" i="12"/>
  <c r="L58" i="12"/>
  <c r="M55" i="12"/>
  <c r="M44" i="12"/>
  <c r="M45" i="12"/>
  <c r="M46" i="12"/>
  <c r="M47" i="12"/>
  <c r="M48" i="12"/>
  <c r="M49" i="12"/>
  <c r="M51" i="12"/>
  <c r="M52" i="12"/>
  <c r="M54" i="12"/>
  <c r="M56" i="12"/>
  <c r="M58" i="12"/>
  <c r="D60" i="12"/>
  <c r="D50" i="12"/>
  <c r="F11" i="12"/>
  <c r="E32" i="12"/>
  <c r="F32" i="12"/>
  <c r="G32" i="12"/>
  <c r="H32" i="12"/>
  <c r="D32" i="12"/>
  <c r="I50" i="12"/>
  <c r="J50" i="12"/>
  <c r="K50" i="12"/>
  <c r="L50" i="12"/>
  <c r="M50" i="12"/>
  <c r="I53" i="12"/>
  <c r="J53" i="12"/>
  <c r="K53" i="12"/>
  <c r="L53" i="12"/>
  <c r="M53" i="12"/>
  <c r="E50" i="12"/>
  <c r="F50" i="12"/>
  <c r="G50" i="12"/>
  <c r="H50" i="12"/>
  <c r="E53" i="12"/>
  <c r="F53" i="12"/>
  <c r="G53" i="12"/>
  <c r="H53" i="12"/>
  <c r="D53" i="12"/>
  <c r="D24" i="12"/>
  <c r="D25" i="12"/>
  <c r="D26" i="12"/>
  <c r="D27" i="12"/>
  <c r="D29" i="12"/>
  <c r="D33" i="12"/>
  <c r="D35" i="12"/>
  <c r="E21" i="12"/>
  <c r="E22" i="12"/>
  <c r="E23" i="12"/>
  <c r="E24" i="12"/>
  <c r="E25" i="12"/>
  <c r="E26" i="12"/>
  <c r="E27" i="12"/>
  <c r="E28" i="12"/>
  <c r="E29" i="12"/>
  <c r="E31" i="12"/>
  <c r="E33" i="12"/>
  <c r="E35" i="12"/>
  <c r="F21" i="12"/>
  <c r="F22" i="12"/>
  <c r="F23" i="12"/>
  <c r="F24" i="12"/>
  <c r="F25" i="12"/>
  <c r="F26" i="12"/>
  <c r="F27" i="12"/>
  <c r="F28" i="12"/>
  <c r="F29" i="12"/>
  <c r="F31" i="12"/>
  <c r="F33" i="12"/>
  <c r="F35" i="12"/>
  <c r="G21" i="12"/>
  <c r="G22" i="12"/>
  <c r="G23" i="12"/>
  <c r="G24" i="12"/>
  <c r="G25" i="12"/>
  <c r="G26" i="12"/>
  <c r="G27" i="12"/>
  <c r="G28" i="12"/>
  <c r="G29" i="12"/>
  <c r="G31" i="12"/>
  <c r="G33" i="12"/>
  <c r="G35" i="12"/>
  <c r="H21" i="12"/>
  <c r="H22" i="12"/>
  <c r="H23" i="12"/>
  <c r="H24" i="12"/>
  <c r="H25" i="12"/>
  <c r="H26" i="12"/>
  <c r="H27" i="12"/>
  <c r="H28" i="12"/>
  <c r="H29" i="12"/>
  <c r="H31" i="12"/>
  <c r="H33" i="12"/>
  <c r="H35" i="12"/>
  <c r="D37" i="12"/>
  <c r="H30" i="12"/>
  <c r="G30" i="12"/>
  <c r="F30" i="12"/>
  <c r="E30" i="12"/>
  <c r="D30" i="12"/>
  <c r="G10" i="11"/>
  <c r="C3" i="11"/>
  <c r="H21" i="11"/>
  <c r="G21" i="11"/>
  <c r="F21" i="11"/>
  <c r="E21" i="11"/>
  <c r="D21" i="11"/>
  <c r="D49" i="11"/>
  <c r="E36" i="6"/>
  <c r="J35" i="6"/>
  <c r="C10" i="11"/>
  <c r="D32" i="11"/>
  <c r="E23" i="11"/>
  <c r="F23" i="11"/>
  <c r="G23" i="11"/>
  <c r="H23" i="11"/>
  <c r="D23" i="11"/>
  <c r="E55" i="11"/>
  <c r="E45" i="11"/>
  <c r="E46" i="11"/>
  <c r="E47" i="11"/>
  <c r="E48" i="11"/>
  <c r="E49" i="11"/>
  <c r="E54" i="11"/>
  <c r="E56" i="11"/>
  <c r="E58" i="11"/>
  <c r="F55" i="11"/>
  <c r="F45" i="11"/>
  <c r="F46" i="11"/>
  <c r="F47" i="11"/>
  <c r="F48" i="11"/>
  <c r="F49" i="11"/>
  <c r="F54" i="11"/>
  <c r="F56" i="11"/>
  <c r="F58" i="11"/>
  <c r="G55" i="11"/>
  <c r="G45" i="11"/>
  <c r="G46" i="11"/>
  <c r="G47" i="11"/>
  <c r="G48" i="11"/>
  <c r="G49" i="11"/>
  <c r="G54" i="11"/>
  <c r="G56" i="11"/>
  <c r="G58" i="11"/>
  <c r="H55" i="11"/>
  <c r="H45" i="11"/>
  <c r="H46" i="11"/>
  <c r="H47" i="11"/>
  <c r="H48" i="11"/>
  <c r="H49" i="11"/>
  <c r="H54" i="11"/>
  <c r="H56" i="11"/>
  <c r="H58" i="11"/>
  <c r="I55" i="11"/>
  <c r="I43" i="11"/>
  <c r="I45" i="11"/>
  <c r="I46" i="11"/>
  <c r="I47" i="11"/>
  <c r="I48" i="11"/>
  <c r="I49" i="11"/>
  <c r="I54" i="11"/>
  <c r="I56" i="11"/>
  <c r="I58" i="11"/>
  <c r="J55" i="11"/>
  <c r="J45" i="11"/>
  <c r="J46" i="11"/>
  <c r="J47" i="11"/>
  <c r="J48" i="11"/>
  <c r="J49" i="11"/>
  <c r="J54" i="11"/>
  <c r="J56" i="11"/>
  <c r="J58" i="11"/>
  <c r="K55" i="11"/>
  <c r="K45" i="11"/>
  <c r="K46" i="11"/>
  <c r="K47" i="11"/>
  <c r="K48" i="11"/>
  <c r="K49" i="11"/>
  <c r="K54" i="11"/>
  <c r="K56" i="11"/>
  <c r="K58" i="11"/>
  <c r="L55" i="11"/>
  <c r="L45" i="11"/>
  <c r="L46" i="11"/>
  <c r="L47" i="11"/>
  <c r="L48" i="11"/>
  <c r="L49" i="11"/>
  <c r="L54" i="11"/>
  <c r="L56" i="11"/>
  <c r="L58" i="11"/>
  <c r="M55" i="11"/>
  <c r="M45" i="11"/>
  <c r="M46" i="11"/>
  <c r="M47" i="11"/>
  <c r="M48" i="11"/>
  <c r="M49" i="11"/>
  <c r="M54" i="11"/>
  <c r="M56" i="11"/>
  <c r="M58" i="11"/>
  <c r="D45" i="11"/>
  <c r="D46" i="11"/>
  <c r="D47" i="11"/>
  <c r="D48" i="11"/>
  <c r="D54" i="11"/>
  <c r="D55" i="11"/>
  <c r="D56" i="11"/>
  <c r="D58" i="11"/>
  <c r="E32" i="11"/>
  <c r="F32" i="11"/>
  <c r="G32" i="11"/>
  <c r="H32" i="11"/>
  <c r="E22" i="11"/>
  <c r="E24" i="11"/>
  <c r="E25" i="11"/>
  <c r="E26" i="11"/>
  <c r="E31" i="11"/>
  <c r="F22" i="11"/>
  <c r="F24" i="11"/>
  <c r="F25" i="11"/>
  <c r="F26" i="11"/>
  <c r="F31" i="11"/>
  <c r="G22" i="11"/>
  <c r="G24" i="11"/>
  <c r="G25" i="11"/>
  <c r="G26" i="11"/>
  <c r="G31" i="11"/>
  <c r="H22" i="11"/>
  <c r="H24" i="11"/>
  <c r="H25" i="11"/>
  <c r="H26" i="11"/>
  <c r="H31" i="11"/>
  <c r="M57" i="6"/>
  <c r="H35" i="6"/>
  <c r="I16" i="6"/>
  <c r="G16" i="6"/>
  <c r="D78" i="11"/>
  <c r="D68" i="11"/>
  <c r="D69" i="11"/>
  <c r="D70" i="11"/>
  <c r="D71" i="11"/>
  <c r="D72" i="11"/>
  <c r="D77" i="11"/>
  <c r="D79" i="11"/>
  <c r="D81" i="11"/>
  <c r="E78" i="11"/>
  <c r="E68" i="11"/>
  <c r="E69" i="11"/>
  <c r="E70" i="11"/>
  <c r="E71" i="11"/>
  <c r="E72" i="11"/>
  <c r="E77" i="11"/>
  <c r="E79" i="11"/>
  <c r="E81" i="11"/>
  <c r="F78" i="11"/>
  <c r="F68" i="11"/>
  <c r="F69" i="11"/>
  <c r="F70" i="11"/>
  <c r="F71" i="11"/>
  <c r="F72" i="11"/>
  <c r="F77" i="11"/>
  <c r="F79" i="11"/>
  <c r="F81" i="11"/>
  <c r="G78" i="11"/>
  <c r="G68" i="11"/>
  <c r="G69" i="11"/>
  <c r="G70" i="11"/>
  <c r="G71" i="11"/>
  <c r="G72" i="11"/>
  <c r="G77" i="11"/>
  <c r="G79" i="11"/>
  <c r="G81" i="11"/>
  <c r="H78" i="11"/>
  <c r="H68" i="11"/>
  <c r="H69" i="11"/>
  <c r="H70" i="11"/>
  <c r="H71" i="11"/>
  <c r="H72" i="11"/>
  <c r="H77" i="11"/>
  <c r="H79" i="11"/>
  <c r="H81" i="11"/>
  <c r="I78" i="11"/>
  <c r="I66" i="11"/>
  <c r="I68" i="11"/>
  <c r="I69" i="11"/>
  <c r="I70" i="11"/>
  <c r="I71" i="11"/>
  <c r="I72" i="11"/>
  <c r="I77" i="11"/>
  <c r="I79" i="11"/>
  <c r="I81" i="11"/>
  <c r="J78" i="11"/>
  <c r="J68" i="11"/>
  <c r="J69" i="11"/>
  <c r="J70" i="11"/>
  <c r="J71" i="11"/>
  <c r="J72" i="11"/>
  <c r="J77" i="11"/>
  <c r="J79" i="11"/>
  <c r="J81" i="11"/>
  <c r="K78" i="11"/>
  <c r="K68" i="11"/>
  <c r="K69" i="11"/>
  <c r="K70" i="11"/>
  <c r="K71" i="11"/>
  <c r="K72" i="11"/>
  <c r="K77" i="11"/>
  <c r="K79" i="11"/>
  <c r="K81" i="11"/>
  <c r="L78" i="11"/>
  <c r="L68" i="11"/>
  <c r="L69" i="11"/>
  <c r="L70" i="11"/>
  <c r="L71" i="11"/>
  <c r="L72" i="11"/>
  <c r="L77" i="11"/>
  <c r="L79" i="11"/>
  <c r="L81" i="11"/>
  <c r="M78" i="11"/>
  <c r="M68" i="11"/>
  <c r="M69" i="11"/>
  <c r="M70" i="11"/>
  <c r="M71" i="11"/>
  <c r="M72" i="11"/>
  <c r="M77" i="11"/>
  <c r="M79" i="11"/>
  <c r="M81" i="11"/>
  <c r="N78" i="11"/>
  <c r="N68" i="11"/>
  <c r="N69" i="11"/>
  <c r="N70" i="11"/>
  <c r="N71" i="11"/>
  <c r="N72" i="11"/>
  <c r="N77" i="11"/>
  <c r="N79" i="11"/>
  <c r="N81" i="11"/>
  <c r="O78" i="11"/>
  <c r="O68" i="11"/>
  <c r="O69" i="11"/>
  <c r="O70" i="11"/>
  <c r="O71" i="11"/>
  <c r="O72" i="11"/>
  <c r="O77" i="11"/>
  <c r="O79" i="11"/>
  <c r="O81" i="11"/>
  <c r="D83" i="11"/>
  <c r="O73" i="11"/>
  <c r="O74" i="11"/>
  <c r="O75" i="11"/>
  <c r="N73" i="11"/>
  <c r="N74" i="11"/>
  <c r="N75" i="11"/>
  <c r="M73" i="11"/>
  <c r="M74" i="11"/>
  <c r="M75" i="11"/>
  <c r="L73" i="11"/>
  <c r="L74" i="11"/>
  <c r="L75" i="11"/>
  <c r="K73" i="11"/>
  <c r="K74" i="11"/>
  <c r="K75" i="11"/>
  <c r="J73" i="11"/>
  <c r="J74" i="11"/>
  <c r="J75" i="11"/>
  <c r="I73" i="11"/>
  <c r="I74" i="11"/>
  <c r="I75" i="11"/>
  <c r="H73" i="11"/>
  <c r="H74" i="11"/>
  <c r="H75" i="11"/>
  <c r="G73" i="11"/>
  <c r="G74" i="11"/>
  <c r="G75" i="11"/>
  <c r="F73" i="11"/>
  <c r="F74" i="11"/>
  <c r="F75" i="11"/>
  <c r="E73" i="11"/>
  <c r="E74" i="11"/>
  <c r="E75" i="11"/>
  <c r="D73" i="11"/>
  <c r="D74" i="11"/>
  <c r="D75" i="11"/>
  <c r="O76" i="11"/>
  <c r="N76" i="11"/>
  <c r="M76" i="11"/>
  <c r="L76" i="11"/>
  <c r="K76" i="11"/>
  <c r="J76" i="11"/>
  <c r="I76" i="11"/>
  <c r="H76" i="11"/>
  <c r="G76" i="11"/>
  <c r="F76" i="11"/>
  <c r="E76" i="11"/>
  <c r="D76" i="11"/>
  <c r="M50" i="11"/>
  <c r="M51" i="11"/>
  <c r="M52" i="11"/>
  <c r="L50" i="11"/>
  <c r="L51" i="11"/>
  <c r="L52" i="11"/>
  <c r="K50" i="11"/>
  <c r="K51" i="11"/>
  <c r="K52" i="11"/>
  <c r="J50" i="11"/>
  <c r="J51" i="11"/>
  <c r="J52" i="11"/>
  <c r="I50" i="11"/>
  <c r="I51" i="11"/>
  <c r="I52" i="11"/>
  <c r="H50" i="11"/>
  <c r="H51" i="11"/>
  <c r="H52" i="11"/>
  <c r="G50" i="11"/>
  <c r="G51" i="11"/>
  <c r="G52" i="11"/>
  <c r="F50" i="11"/>
  <c r="F51" i="11"/>
  <c r="F52" i="11"/>
  <c r="E50" i="11"/>
  <c r="E51" i="11"/>
  <c r="E52" i="11"/>
  <c r="M53" i="11"/>
  <c r="L53" i="11"/>
  <c r="K53" i="11"/>
  <c r="J53" i="11"/>
  <c r="I53" i="11"/>
  <c r="H53" i="11"/>
  <c r="G53" i="11"/>
  <c r="F53" i="11"/>
  <c r="E53" i="11"/>
  <c r="D50" i="11"/>
  <c r="D51" i="11"/>
  <c r="D52" i="11"/>
  <c r="D53" i="11"/>
  <c r="H33" i="11"/>
  <c r="G33" i="11"/>
  <c r="F33" i="11"/>
  <c r="E33" i="11"/>
  <c r="D22" i="11"/>
  <c r="D24" i="11"/>
  <c r="D25" i="11"/>
  <c r="D26" i="11"/>
  <c r="D31" i="11"/>
  <c r="D33" i="11"/>
  <c r="H27" i="11"/>
  <c r="G27" i="11"/>
  <c r="F27" i="11"/>
  <c r="E27" i="11"/>
  <c r="D27" i="11"/>
  <c r="E38" i="6"/>
  <c r="E37" i="6"/>
  <c r="E16" i="6"/>
  <c r="E28" i="11"/>
  <c r="F28" i="11"/>
  <c r="G28" i="11"/>
  <c r="H28" i="11"/>
  <c r="D28" i="11"/>
  <c r="C8" i="11"/>
  <c r="D60" i="11"/>
  <c r="D29" i="11"/>
  <c r="D35" i="11"/>
  <c r="E29" i="11"/>
  <c r="E35" i="11"/>
  <c r="F29" i="11"/>
  <c r="F35" i="11"/>
  <c r="G29" i="11"/>
  <c r="G35" i="11"/>
  <c r="H29" i="11"/>
  <c r="H35" i="11"/>
  <c r="D37" i="11"/>
  <c r="H30" i="11"/>
  <c r="G30" i="11"/>
  <c r="F30" i="11"/>
  <c r="E30" i="11"/>
  <c r="D30" i="11"/>
  <c r="C3" i="2"/>
  <c r="D21" i="2"/>
  <c r="D44" i="2"/>
  <c r="D67" i="2"/>
  <c r="D68" i="2"/>
  <c r="D69" i="2"/>
  <c r="D70" i="2"/>
  <c r="D71" i="2"/>
  <c r="D72" i="2"/>
  <c r="D77" i="2"/>
  <c r="D79" i="2"/>
  <c r="D81" i="2"/>
  <c r="E67" i="2"/>
  <c r="E68" i="2"/>
  <c r="E69" i="2"/>
  <c r="E70" i="2"/>
  <c r="E71" i="2"/>
  <c r="E72" i="2"/>
  <c r="E77" i="2"/>
  <c r="E79" i="2"/>
  <c r="E81" i="2"/>
  <c r="F67" i="2"/>
  <c r="F68" i="2"/>
  <c r="F69" i="2"/>
  <c r="F70" i="2"/>
  <c r="F71" i="2"/>
  <c r="F72" i="2"/>
  <c r="F77" i="2"/>
  <c r="F79" i="2"/>
  <c r="F81" i="2"/>
  <c r="G67" i="2"/>
  <c r="G68" i="2"/>
  <c r="G69" i="2"/>
  <c r="G70" i="2"/>
  <c r="G71" i="2"/>
  <c r="G72" i="2"/>
  <c r="G77" i="2"/>
  <c r="G79" i="2"/>
  <c r="G81" i="2"/>
  <c r="H67" i="2"/>
  <c r="H68" i="2"/>
  <c r="H69" i="2"/>
  <c r="H70" i="2"/>
  <c r="H71" i="2"/>
  <c r="H72" i="2"/>
  <c r="H77" i="2"/>
  <c r="H79" i="2"/>
  <c r="H81" i="2"/>
  <c r="I66" i="2"/>
  <c r="I67" i="2"/>
  <c r="I68" i="2"/>
  <c r="I69" i="2"/>
  <c r="I70" i="2"/>
  <c r="I71" i="2"/>
  <c r="I72" i="2"/>
  <c r="I77" i="2"/>
  <c r="I79" i="2"/>
  <c r="I81" i="2"/>
  <c r="J67" i="2"/>
  <c r="J68" i="2"/>
  <c r="J69" i="2"/>
  <c r="J70" i="2"/>
  <c r="J71" i="2"/>
  <c r="J72" i="2"/>
  <c r="J77" i="2"/>
  <c r="J79" i="2"/>
  <c r="J81" i="2"/>
  <c r="K67" i="2"/>
  <c r="K68" i="2"/>
  <c r="K69" i="2"/>
  <c r="K70" i="2"/>
  <c r="K71" i="2"/>
  <c r="K72" i="2"/>
  <c r="K77" i="2"/>
  <c r="K79" i="2"/>
  <c r="K81" i="2"/>
  <c r="L67" i="2"/>
  <c r="L68" i="2"/>
  <c r="L69" i="2"/>
  <c r="L70" i="2"/>
  <c r="L71" i="2"/>
  <c r="L72" i="2"/>
  <c r="L77" i="2"/>
  <c r="L79" i="2"/>
  <c r="L81" i="2"/>
  <c r="M67" i="2"/>
  <c r="M68" i="2"/>
  <c r="M69" i="2"/>
  <c r="M70" i="2"/>
  <c r="M71" i="2"/>
  <c r="M72" i="2"/>
  <c r="M77" i="2"/>
  <c r="M79" i="2"/>
  <c r="M81" i="2"/>
  <c r="D83" i="2"/>
  <c r="N67" i="2"/>
  <c r="N68" i="2"/>
  <c r="N69" i="2"/>
  <c r="N70" i="2"/>
  <c r="N71" i="2"/>
  <c r="N72" i="2"/>
  <c r="N77" i="2"/>
  <c r="O67" i="2"/>
  <c r="O68" i="2"/>
  <c r="O69" i="2"/>
  <c r="O70" i="2"/>
  <c r="O71" i="2"/>
  <c r="O72" i="2"/>
  <c r="O77" i="2"/>
  <c r="M76" i="2"/>
  <c r="L76" i="2"/>
  <c r="K76" i="2"/>
  <c r="J76" i="2"/>
  <c r="I76" i="2"/>
  <c r="H76" i="2"/>
  <c r="G76" i="2"/>
  <c r="F76" i="2"/>
  <c r="E76" i="2"/>
  <c r="D76" i="2"/>
  <c r="K49" i="2"/>
  <c r="L49" i="2"/>
  <c r="J49" i="2"/>
  <c r="I49" i="2"/>
  <c r="H49" i="2"/>
  <c r="G49" i="2"/>
  <c r="F49" i="2"/>
  <c r="E49" i="2"/>
  <c r="D49" i="2"/>
  <c r="M44" i="2"/>
  <c r="M45" i="2"/>
  <c r="M46" i="2"/>
  <c r="M47" i="2"/>
  <c r="M48" i="2"/>
  <c r="M49" i="2"/>
  <c r="M54" i="2"/>
  <c r="L44" i="2"/>
  <c r="L45" i="2"/>
  <c r="L46" i="2"/>
  <c r="L47" i="2"/>
  <c r="L48" i="2"/>
  <c r="L54" i="2"/>
  <c r="K44" i="2"/>
  <c r="K45" i="2"/>
  <c r="K46" i="2"/>
  <c r="K47" i="2"/>
  <c r="K48" i="2"/>
  <c r="K54" i="2"/>
  <c r="J44" i="2"/>
  <c r="J45" i="2"/>
  <c r="J46" i="2"/>
  <c r="J47" i="2"/>
  <c r="J48" i="2"/>
  <c r="J54" i="2"/>
  <c r="I43" i="2"/>
  <c r="I44" i="2"/>
  <c r="I45" i="2"/>
  <c r="I46" i="2"/>
  <c r="I47" i="2"/>
  <c r="I48" i="2"/>
  <c r="I54" i="2"/>
  <c r="H44" i="2"/>
  <c r="H45" i="2"/>
  <c r="H46" i="2"/>
  <c r="H47" i="2"/>
  <c r="H48" i="2"/>
  <c r="H54" i="2"/>
  <c r="G44" i="2"/>
  <c r="G45" i="2"/>
  <c r="G46" i="2"/>
  <c r="G47" i="2"/>
  <c r="G48" i="2"/>
  <c r="G54" i="2"/>
  <c r="F44" i="2"/>
  <c r="F45" i="2"/>
  <c r="F46" i="2"/>
  <c r="F47" i="2"/>
  <c r="F48" i="2"/>
  <c r="F54" i="2"/>
  <c r="E44" i="2"/>
  <c r="E45" i="2"/>
  <c r="E46" i="2"/>
  <c r="E47" i="2"/>
  <c r="E48" i="2"/>
  <c r="E54" i="2"/>
  <c r="E53" i="2"/>
  <c r="F53" i="2"/>
  <c r="G53" i="2"/>
  <c r="H53" i="2"/>
  <c r="I53" i="2"/>
  <c r="J53" i="2"/>
  <c r="K53" i="2"/>
  <c r="L53" i="2"/>
  <c r="M53" i="2"/>
  <c r="D45" i="2"/>
  <c r="D46" i="2"/>
  <c r="D47" i="2"/>
  <c r="D48" i="2"/>
  <c r="D54" i="2"/>
  <c r="D53" i="2"/>
  <c r="F4" i="10"/>
  <c r="D37" i="10"/>
  <c r="D30" i="10"/>
  <c r="D31" i="10"/>
  <c r="C9" i="10"/>
  <c r="D9" i="10"/>
  <c r="D11" i="10"/>
  <c r="D25" i="10"/>
  <c r="D26" i="10"/>
  <c r="D20" i="10"/>
  <c r="D21" i="10"/>
  <c r="D10" i="10"/>
  <c r="D14" i="10"/>
  <c r="D16" i="10"/>
  <c r="D44" i="10"/>
  <c r="C37" i="10"/>
  <c r="C30" i="10"/>
  <c r="C31" i="10"/>
  <c r="C11" i="10"/>
  <c r="C25" i="10"/>
  <c r="C26" i="10"/>
  <c r="C10" i="10"/>
  <c r="C14" i="10"/>
  <c r="C16" i="10"/>
  <c r="C44" i="10"/>
  <c r="E44" i="10"/>
  <c r="D36" i="10"/>
  <c r="D43" i="10"/>
  <c r="C36" i="10"/>
  <c r="C43" i="10"/>
  <c r="E43" i="10"/>
  <c r="D35" i="10"/>
  <c r="D42" i="10"/>
  <c r="C35" i="10"/>
  <c r="C42" i="10"/>
  <c r="E42" i="10"/>
  <c r="E37" i="10"/>
  <c r="E36" i="10"/>
  <c r="E35" i="10"/>
  <c r="G59" i="10"/>
  <c r="G60" i="10"/>
  <c r="G62" i="10"/>
  <c r="G63" i="10"/>
  <c r="F59" i="10"/>
  <c r="F60" i="10"/>
  <c r="F62" i="10"/>
  <c r="F63" i="10"/>
  <c r="E59" i="10"/>
  <c r="E60" i="10"/>
  <c r="E62" i="10"/>
  <c r="E63" i="10"/>
  <c r="D59" i="10"/>
  <c r="D60" i="10"/>
  <c r="D62" i="10"/>
  <c r="D63" i="10"/>
  <c r="C59" i="10"/>
  <c r="C60" i="10"/>
  <c r="C62" i="10"/>
  <c r="C63" i="10"/>
  <c r="B63" i="10"/>
  <c r="K60" i="10"/>
  <c r="B59" i="10"/>
  <c r="D53" i="10"/>
  <c r="D55" i="10"/>
  <c r="D38" i="10"/>
  <c r="D32" i="10"/>
  <c r="D27" i="10"/>
  <c r="D22" i="10"/>
  <c r="D17" i="10"/>
  <c r="C38" i="10"/>
  <c r="C32" i="10"/>
  <c r="C27" i="10"/>
  <c r="C17" i="10"/>
  <c r="G42" i="10"/>
  <c r="D40" i="10"/>
  <c r="C40" i="10"/>
  <c r="D39" i="10"/>
  <c r="C39" i="10"/>
  <c r="E31" i="10"/>
  <c r="E30" i="10"/>
  <c r="I27" i="10"/>
  <c r="E26" i="10"/>
  <c r="E25" i="10"/>
  <c r="E21" i="10"/>
  <c r="E16" i="10"/>
  <c r="D15" i="10"/>
  <c r="K13" i="10"/>
  <c r="I10" i="10"/>
  <c r="D8" i="10"/>
  <c r="D6" i="10"/>
  <c r="C6" i="10"/>
  <c r="K5" i="10"/>
  <c r="F5" i="10"/>
  <c r="E4" i="10"/>
  <c r="B56" i="6"/>
  <c r="C35" i="6"/>
  <c r="D35" i="6"/>
  <c r="B60" i="6"/>
  <c r="C10" i="2"/>
  <c r="E50" i="2"/>
  <c r="F50" i="2"/>
  <c r="G50" i="2"/>
  <c r="H50" i="2"/>
  <c r="I50" i="2"/>
  <c r="J50" i="2"/>
  <c r="K50" i="2"/>
  <c r="L50" i="2"/>
  <c r="M50" i="2"/>
  <c r="D50" i="2"/>
  <c r="D26" i="2"/>
  <c r="E21" i="2"/>
  <c r="E30" i="2"/>
  <c r="F30" i="2"/>
  <c r="G30" i="2"/>
  <c r="H30" i="2"/>
  <c r="D30" i="2"/>
  <c r="E78" i="2"/>
  <c r="F78" i="2"/>
  <c r="G78" i="2"/>
  <c r="H78" i="2"/>
  <c r="I78" i="2"/>
  <c r="J78" i="2"/>
  <c r="K78" i="2"/>
  <c r="L78" i="2"/>
  <c r="M78" i="2"/>
  <c r="N78" i="2"/>
  <c r="O78" i="2"/>
  <c r="D78" i="2"/>
  <c r="E32" i="2"/>
  <c r="F32" i="2"/>
  <c r="G32" i="2"/>
  <c r="H32" i="2"/>
  <c r="D32" i="2"/>
  <c r="E55" i="2"/>
  <c r="F55" i="2"/>
  <c r="G55" i="2"/>
  <c r="H55" i="2"/>
  <c r="I55" i="2"/>
  <c r="J55" i="2"/>
  <c r="K55" i="2"/>
  <c r="L55" i="2"/>
  <c r="M55" i="2"/>
  <c r="D55" i="2"/>
  <c r="D51" i="2"/>
  <c r="C8" i="2"/>
  <c r="D75" i="2"/>
  <c r="E74" i="2"/>
  <c r="F74" i="2"/>
  <c r="G74" i="2"/>
  <c r="H74" i="2"/>
  <c r="I74" i="2"/>
  <c r="J74" i="2"/>
  <c r="K74" i="2"/>
  <c r="L74" i="2"/>
  <c r="M74" i="2"/>
  <c r="N74" i="2"/>
  <c r="O74" i="2"/>
  <c r="D27" i="2"/>
  <c r="I11" i="9"/>
  <c r="H11" i="9"/>
  <c r="G11" i="9"/>
  <c r="G3" i="9"/>
  <c r="G4" i="9"/>
  <c r="G5" i="9"/>
  <c r="G6" i="9"/>
  <c r="G7" i="9"/>
  <c r="G8" i="9"/>
  <c r="G9" i="9"/>
  <c r="G10" i="9"/>
  <c r="G2" i="9"/>
  <c r="D74" i="2"/>
  <c r="K51" i="2"/>
  <c r="K52" i="2"/>
  <c r="K56" i="2"/>
  <c r="K58" i="2"/>
  <c r="J51" i="2"/>
  <c r="J52" i="2"/>
  <c r="J56" i="2"/>
  <c r="J58" i="2"/>
  <c r="D52" i="2"/>
  <c r="D56" i="2"/>
  <c r="D58" i="2"/>
  <c r="E51" i="2"/>
  <c r="F51" i="2"/>
  <c r="G51" i="2"/>
  <c r="H51" i="2"/>
  <c r="I51" i="2"/>
  <c r="L51" i="2"/>
  <c r="M51" i="2"/>
  <c r="D25" i="2"/>
  <c r="D24" i="2"/>
  <c r="D23" i="2"/>
  <c r="D22" i="2"/>
  <c r="E73" i="2"/>
  <c r="E75" i="2"/>
  <c r="D28" i="2"/>
  <c r="D29" i="2"/>
  <c r="E28" i="2"/>
  <c r="F28" i="2"/>
  <c r="G28" i="2"/>
  <c r="H28" i="2"/>
  <c r="C12" i="2"/>
  <c r="C36" i="6"/>
  <c r="I27" i="6"/>
  <c r="D36" i="6"/>
  <c r="E27" i="2"/>
  <c r="D38" i="6"/>
  <c r="D37" i="6"/>
  <c r="F73" i="2"/>
  <c r="F75" i="2"/>
  <c r="G73" i="2"/>
  <c r="G75" i="2"/>
  <c r="H73" i="2"/>
  <c r="H75" i="2"/>
  <c r="I73" i="2"/>
  <c r="I75" i="2"/>
  <c r="J73" i="2"/>
  <c r="J75" i="2"/>
  <c r="K73" i="2"/>
  <c r="K75" i="2"/>
  <c r="L73" i="2"/>
  <c r="L75" i="2"/>
  <c r="M73" i="2"/>
  <c r="M75" i="2"/>
  <c r="N73" i="2"/>
  <c r="N75" i="2"/>
  <c r="O73" i="2"/>
  <c r="O75" i="2"/>
  <c r="D73" i="2"/>
  <c r="E52" i="2"/>
  <c r="F52" i="2"/>
  <c r="G52" i="2"/>
  <c r="H52" i="2"/>
  <c r="I52" i="2"/>
  <c r="L52" i="2"/>
  <c r="M52" i="2"/>
  <c r="E29" i="2"/>
  <c r="F29" i="2"/>
  <c r="G29" i="2"/>
  <c r="H29" i="2"/>
  <c r="E22" i="2"/>
  <c r="E23" i="2"/>
  <c r="E24" i="2"/>
  <c r="E25" i="2"/>
  <c r="E26" i="2"/>
  <c r="E31" i="2"/>
  <c r="F21" i="2"/>
  <c r="F22" i="2"/>
  <c r="F23" i="2"/>
  <c r="F24" i="2"/>
  <c r="F25" i="2"/>
  <c r="F26" i="2"/>
  <c r="F27" i="2"/>
  <c r="F31" i="2"/>
  <c r="G21" i="2"/>
  <c r="G22" i="2"/>
  <c r="G23" i="2"/>
  <c r="G24" i="2"/>
  <c r="G25" i="2"/>
  <c r="G26" i="2"/>
  <c r="G27" i="2"/>
  <c r="G31" i="2"/>
  <c r="H21" i="2"/>
  <c r="H22" i="2"/>
  <c r="H23" i="2"/>
  <c r="H24" i="2"/>
  <c r="H25" i="2"/>
  <c r="H26" i="2"/>
  <c r="H27" i="2"/>
  <c r="H31" i="2"/>
  <c r="D31" i="2"/>
  <c r="D33" i="2"/>
  <c r="E71" i="4"/>
  <c r="F71" i="4"/>
  <c r="G71" i="4"/>
  <c r="H71" i="4"/>
  <c r="I71" i="4"/>
  <c r="J71" i="4"/>
  <c r="K71" i="4"/>
  <c r="L71" i="4"/>
  <c r="M71" i="4"/>
  <c r="N71" i="4"/>
  <c r="O71" i="4"/>
  <c r="D71" i="4"/>
  <c r="E49" i="4"/>
  <c r="F49" i="4"/>
  <c r="G49" i="4"/>
  <c r="H49" i="4"/>
  <c r="I49" i="4"/>
  <c r="J49" i="4"/>
  <c r="K49" i="4"/>
  <c r="L49" i="4"/>
  <c r="M49" i="4"/>
  <c r="D49" i="4"/>
  <c r="E27" i="4"/>
  <c r="F27" i="4"/>
  <c r="G27" i="4"/>
  <c r="H27" i="4"/>
  <c r="D27" i="4"/>
  <c r="D70" i="7"/>
  <c r="D41" i="7"/>
  <c r="D60" i="7"/>
  <c r="D61" i="7"/>
  <c r="D62" i="7"/>
  <c r="D63" i="7"/>
  <c r="D64" i="7"/>
  <c r="D65" i="7"/>
  <c r="D66" i="7"/>
  <c r="D67" i="7"/>
  <c r="D68" i="7"/>
  <c r="D69" i="7"/>
  <c r="D71" i="7"/>
  <c r="D73" i="7"/>
  <c r="E70" i="7"/>
  <c r="B3" i="7"/>
  <c r="E60" i="7"/>
  <c r="E61" i="7"/>
  <c r="E62" i="7"/>
  <c r="E63" i="7"/>
  <c r="E64" i="7"/>
  <c r="E65" i="7"/>
  <c r="E66" i="7"/>
  <c r="E67" i="7"/>
  <c r="E68" i="7"/>
  <c r="E69" i="7"/>
  <c r="E71" i="7"/>
  <c r="E73" i="7"/>
  <c r="F70" i="7"/>
  <c r="F60" i="7"/>
  <c r="F61" i="7"/>
  <c r="F62" i="7"/>
  <c r="F63" i="7"/>
  <c r="F64" i="7"/>
  <c r="F65" i="7"/>
  <c r="F66" i="7"/>
  <c r="F67" i="7"/>
  <c r="F68" i="7"/>
  <c r="F69" i="7"/>
  <c r="F71" i="7"/>
  <c r="F73" i="7"/>
  <c r="G70" i="7"/>
  <c r="G60" i="7"/>
  <c r="G61" i="7"/>
  <c r="G62" i="7"/>
  <c r="G63" i="7"/>
  <c r="G64" i="7"/>
  <c r="G65" i="7"/>
  <c r="G66" i="7"/>
  <c r="G67" i="7"/>
  <c r="G68" i="7"/>
  <c r="G69" i="7"/>
  <c r="G71" i="7"/>
  <c r="G73" i="7"/>
  <c r="H70" i="7"/>
  <c r="H60" i="7"/>
  <c r="H61" i="7"/>
  <c r="H62" i="7"/>
  <c r="H63" i="7"/>
  <c r="H64" i="7"/>
  <c r="H65" i="7"/>
  <c r="H66" i="7"/>
  <c r="H67" i="7"/>
  <c r="H68" i="7"/>
  <c r="H69" i="7"/>
  <c r="H71" i="7"/>
  <c r="H73" i="7"/>
  <c r="I70" i="7"/>
  <c r="I58" i="7"/>
  <c r="I59" i="7"/>
  <c r="I60" i="7"/>
  <c r="I61" i="7"/>
  <c r="I62" i="7"/>
  <c r="I63" i="7"/>
  <c r="I64" i="7"/>
  <c r="I65" i="7"/>
  <c r="I66" i="7"/>
  <c r="I67" i="7"/>
  <c r="I68" i="7"/>
  <c r="I69" i="7"/>
  <c r="I71" i="7"/>
  <c r="I73" i="7"/>
  <c r="J70" i="7"/>
  <c r="J60" i="7"/>
  <c r="J61" i="7"/>
  <c r="J62" i="7"/>
  <c r="J63" i="7"/>
  <c r="J64" i="7"/>
  <c r="J65" i="7"/>
  <c r="J66" i="7"/>
  <c r="J67" i="7"/>
  <c r="J68" i="7"/>
  <c r="J69" i="7"/>
  <c r="J71" i="7"/>
  <c r="J73" i="7"/>
  <c r="K70" i="7"/>
  <c r="K60" i="7"/>
  <c r="K61" i="7"/>
  <c r="K62" i="7"/>
  <c r="K63" i="7"/>
  <c r="K64" i="7"/>
  <c r="K65" i="7"/>
  <c r="K66" i="7"/>
  <c r="K67" i="7"/>
  <c r="K68" i="7"/>
  <c r="K69" i="7"/>
  <c r="K71" i="7"/>
  <c r="K73" i="7"/>
  <c r="L70" i="7"/>
  <c r="L60" i="7"/>
  <c r="L61" i="7"/>
  <c r="L62" i="7"/>
  <c r="L63" i="7"/>
  <c r="L64" i="7"/>
  <c r="L65" i="7"/>
  <c r="L66" i="7"/>
  <c r="L67" i="7"/>
  <c r="L68" i="7"/>
  <c r="L69" i="7"/>
  <c r="L71" i="7"/>
  <c r="L73" i="7"/>
  <c r="M70" i="7"/>
  <c r="M60" i="7"/>
  <c r="M61" i="7"/>
  <c r="M62" i="7"/>
  <c r="M63" i="7"/>
  <c r="M64" i="7"/>
  <c r="M65" i="7"/>
  <c r="M66" i="7"/>
  <c r="M67" i="7"/>
  <c r="M68" i="7"/>
  <c r="M69" i="7"/>
  <c r="M71" i="7"/>
  <c r="M73" i="7"/>
  <c r="D75" i="7"/>
  <c r="O70" i="7"/>
  <c r="N65" i="7"/>
  <c r="O60" i="7"/>
  <c r="O61" i="7"/>
  <c r="O62" i="7"/>
  <c r="O63" i="7"/>
  <c r="O64" i="7"/>
  <c r="O65" i="7"/>
  <c r="O66" i="7"/>
  <c r="O67" i="7"/>
  <c r="O68" i="7"/>
  <c r="O69" i="7"/>
  <c r="O71" i="7"/>
  <c r="O73" i="7"/>
  <c r="N70" i="7"/>
  <c r="N60" i="7"/>
  <c r="N61" i="7"/>
  <c r="N62" i="7"/>
  <c r="N63" i="7"/>
  <c r="N64" i="7"/>
  <c r="N66" i="7"/>
  <c r="N67" i="7"/>
  <c r="N68" i="7"/>
  <c r="N69" i="7"/>
  <c r="N71" i="7"/>
  <c r="N73" i="7"/>
  <c r="D48" i="7"/>
  <c r="D16" i="7"/>
  <c r="D38" i="7"/>
  <c r="D39" i="7"/>
  <c r="D40" i="7"/>
  <c r="D42" i="7"/>
  <c r="D43" i="7"/>
  <c r="D44" i="7"/>
  <c r="D45" i="7"/>
  <c r="D46" i="7"/>
  <c r="D47" i="7"/>
  <c r="D49" i="7"/>
  <c r="D51" i="7"/>
  <c r="E48" i="7"/>
  <c r="E38" i="7"/>
  <c r="E39" i="7"/>
  <c r="E40" i="7"/>
  <c r="E41" i="7"/>
  <c r="E42" i="7"/>
  <c r="E43" i="7"/>
  <c r="E44" i="7"/>
  <c r="E45" i="7"/>
  <c r="E46" i="7"/>
  <c r="E47" i="7"/>
  <c r="E49" i="7"/>
  <c r="E51" i="7"/>
  <c r="F48" i="7"/>
  <c r="F38" i="7"/>
  <c r="F39" i="7"/>
  <c r="F40" i="7"/>
  <c r="F41" i="7"/>
  <c r="F42" i="7"/>
  <c r="F43" i="7"/>
  <c r="F44" i="7"/>
  <c r="F45" i="7"/>
  <c r="F46" i="7"/>
  <c r="F47" i="7"/>
  <c r="F49" i="7"/>
  <c r="F51" i="7"/>
  <c r="G48" i="7"/>
  <c r="G38" i="7"/>
  <c r="G39" i="7"/>
  <c r="G40" i="7"/>
  <c r="G41" i="7"/>
  <c r="G42" i="7"/>
  <c r="G43" i="7"/>
  <c r="G44" i="7"/>
  <c r="G45" i="7"/>
  <c r="G46" i="7"/>
  <c r="G47" i="7"/>
  <c r="G49" i="7"/>
  <c r="G51" i="7"/>
  <c r="H48" i="7"/>
  <c r="H38" i="7"/>
  <c r="H39" i="7"/>
  <c r="H40" i="7"/>
  <c r="H41" i="7"/>
  <c r="H42" i="7"/>
  <c r="H43" i="7"/>
  <c r="H44" i="7"/>
  <c r="H45" i="7"/>
  <c r="H46" i="7"/>
  <c r="H47" i="7"/>
  <c r="H49" i="7"/>
  <c r="H51" i="7"/>
  <c r="I48" i="7"/>
  <c r="I36" i="7"/>
  <c r="I37" i="7"/>
  <c r="I38" i="7"/>
  <c r="I39" i="7"/>
  <c r="I40" i="7"/>
  <c r="I41" i="7"/>
  <c r="I42" i="7"/>
  <c r="I43" i="7"/>
  <c r="I44" i="7"/>
  <c r="I45" i="7"/>
  <c r="I46" i="7"/>
  <c r="I47" i="7"/>
  <c r="I49" i="7"/>
  <c r="I51" i="7"/>
  <c r="J48" i="7"/>
  <c r="J38" i="7"/>
  <c r="J39" i="7"/>
  <c r="J40" i="7"/>
  <c r="J41" i="7"/>
  <c r="J42" i="7"/>
  <c r="J43" i="7"/>
  <c r="J44" i="7"/>
  <c r="J45" i="7"/>
  <c r="J46" i="7"/>
  <c r="J47" i="7"/>
  <c r="J49" i="7"/>
  <c r="J51" i="7"/>
  <c r="K48" i="7"/>
  <c r="K38" i="7"/>
  <c r="K39" i="7"/>
  <c r="K40" i="7"/>
  <c r="K41" i="7"/>
  <c r="K42" i="7"/>
  <c r="K43" i="7"/>
  <c r="K44" i="7"/>
  <c r="K45" i="7"/>
  <c r="K46" i="7"/>
  <c r="K47" i="7"/>
  <c r="K49" i="7"/>
  <c r="K51" i="7"/>
  <c r="L48" i="7"/>
  <c r="L38" i="7"/>
  <c r="L39" i="7"/>
  <c r="L40" i="7"/>
  <c r="L41" i="7"/>
  <c r="L42" i="7"/>
  <c r="L43" i="7"/>
  <c r="L44" i="7"/>
  <c r="L45" i="7"/>
  <c r="L46" i="7"/>
  <c r="L47" i="7"/>
  <c r="L49" i="7"/>
  <c r="L51" i="7"/>
  <c r="M48" i="7"/>
  <c r="M38" i="7"/>
  <c r="M39" i="7"/>
  <c r="M40" i="7"/>
  <c r="M41" i="7"/>
  <c r="M42" i="7"/>
  <c r="M43" i="7"/>
  <c r="M44" i="7"/>
  <c r="M45" i="7"/>
  <c r="M46" i="7"/>
  <c r="M47" i="7"/>
  <c r="M49" i="7"/>
  <c r="M51" i="7"/>
  <c r="D53" i="7"/>
  <c r="D26" i="7"/>
  <c r="D17" i="7"/>
  <c r="D18" i="7"/>
  <c r="D19" i="7"/>
  <c r="D20" i="7"/>
  <c r="D21" i="7"/>
  <c r="D22" i="7"/>
  <c r="D23" i="7"/>
  <c r="D24" i="7"/>
  <c r="D25" i="7"/>
  <c r="D27" i="7"/>
  <c r="D29" i="7"/>
  <c r="E26" i="7"/>
  <c r="E16" i="7"/>
  <c r="E17" i="7"/>
  <c r="E18" i="7"/>
  <c r="E19" i="7"/>
  <c r="E20" i="7"/>
  <c r="E21" i="7"/>
  <c r="E22" i="7"/>
  <c r="E23" i="7"/>
  <c r="E24" i="7"/>
  <c r="E25" i="7"/>
  <c r="E27" i="7"/>
  <c r="E29" i="7"/>
  <c r="F26" i="7"/>
  <c r="F16" i="7"/>
  <c r="F17" i="7"/>
  <c r="F18" i="7"/>
  <c r="F19" i="7"/>
  <c r="F20" i="7"/>
  <c r="F21" i="7"/>
  <c r="F22" i="7"/>
  <c r="F23" i="7"/>
  <c r="F24" i="7"/>
  <c r="F25" i="7"/>
  <c r="F27" i="7"/>
  <c r="F29" i="7"/>
  <c r="G26" i="7"/>
  <c r="G16" i="7"/>
  <c r="G17" i="7"/>
  <c r="G18" i="7"/>
  <c r="G19" i="7"/>
  <c r="G20" i="7"/>
  <c r="G21" i="7"/>
  <c r="G22" i="7"/>
  <c r="G23" i="7"/>
  <c r="G24" i="7"/>
  <c r="G25" i="7"/>
  <c r="G27" i="7"/>
  <c r="G29" i="7"/>
  <c r="H26" i="7"/>
  <c r="H16" i="7"/>
  <c r="H17" i="7"/>
  <c r="H18" i="7"/>
  <c r="H19" i="7"/>
  <c r="H20" i="7"/>
  <c r="H21" i="7"/>
  <c r="H22" i="7"/>
  <c r="H23" i="7"/>
  <c r="H24" i="7"/>
  <c r="H25" i="7"/>
  <c r="H27" i="7"/>
  <c r="H29" i="7"/>
  <c r="D31" i="7"/>
  <c r="D4" i="7"/>
  <c r="E5" i="7"/>
  <c r="F5" i="7"/>
  <c r="F6" i="7"/>
  <c r="G6" i="7"/>
  <c r="H6" i="7"/>
  <c r="I6" i="7"/>
  <c r="D62" i="4"/>
  <c r="D63" i="4"/>
  <c r="D64" i="4"/>
  <c r="D65" i="4"/>
  <c r="D70" i="4"/>
  <c r="D72" i="4"/>
  <c r="D74" i="4"/>
  <c r="E62" i="4"/>
  <c r="E63" i="4"/>
  <c r="E64" i="4"/>
  <c r="E65" i="4"/>
  <c r="E70" i="4"/>
  <c r="E72" i="4"/>
  <c r="E74" i="4"/>
  <c r="F62" i="4"/>
  <c r="F63" i="4"/>
  <c r="F64" i="4"/>
  <c r="F65" i="4"/>
  <c r="F70" i="4"/>
  <c r="F72" i="4"/>
  <c r="F74" i="4"/>
  <c r="G62" i="4"/>
  <c r="G63" i="4"/>
  <c r="G64" i="4"/>
  <c r="G65" i="4"/>
  <c r="G70" i="4"/>
  <c r="G72" i="4"/>
  <c r="G74" i="4"/>
  <c r="H62" i="4"/>
  <c r="H63" i="4"/>
  <c r="H64" i="4"/>
  <c r="H65" i="4"/>
  <c r="H70" i="4"/>
  <c r="H72" i="4"/>
  <c r="H74" i="4"/>
  <c r="I62" i="4"/>
  <c r="I63" i="4"/>
  <c r="I64" i="4"/>
  <c r="I65" i="4"/>
  <c r="I70" i="4"/>
  <c r="I72" i="4"/>
  <c r="I74" i="4"/>
  <c r="J62" i="4"/>
  <c r="J63" i="4"/>
  <c r="J64" i="4"/>
  <c r="J65" i="4"/>
  <c r="J70" i="4"/>
  <c r="J72" i="4"/>
  <c r="J74" i="4"/>
  <c r="K62" i="4"/>
  <c r="K63" i="4"/>
  <c r="K64" i="4"/>
  <c r="K65" i="4"/>
  <c r="K70" i="4"/>
  <c r="K72" i="4"/>
  <c r="K74" i="4"/>
  <c r="L62" i="4"/>
  <c r="L63" i="4"/>
  <c r="L64" i="4"/>
  <c r="L65" i="4"/>
  <c r="L70" i="4"/>
  <c r="L72" i="4"/>
  <c r="L74" i="4"/>
  <c r="M62" i="4"/>
  <c r="M63" i="4"/>
  <c r="M64" i="4"/>
  <c r="M65" i="4"/>
  <c r="M70" i="4"/>
  <c r="M72" i="4"/>
  <c r="M74" i="4"/>
  <c r="B3" i="4"/>
  <c r="C58" i="4"/>
  <c r="D76" i="4"/>
  <c r="O62" i="4"/>
  <c r="O63" i="4"/>
  <c r="O64" i="4"/>
  <c r="O65" i="4"/>
  <c r="O67" i="4"/>
  <c r="O68" i="4"/>
  <c r="O69" i="4"/>
  <c r="O70" i="4"/>
  <c r="N62" i="4"/>
  <c r="N63" i="4"/>
  <c r="N64" i="4"/>
  <c r="N65" i="4"/>
  <c r="N67" i="4"/>
  <c r="N68" i="4"/>
  <c r="N69" i="4"/>
  <c r="N70" i="4"/>
  <c r="M67" i="4"/>
  <c r="M68" i="4"/>
  <c r="M69" i="4"/>
  <c r="L67" i="4"/>
  <c r="L68" i="4"/>
  <c r="L69" i="4"/>
  <c r="K67" i="4"/>
  <c r="K68" i="4"/>
  <c r="K69" i="4"/>
  <c r="J67" i="4"/>
  <c r="J68" i="4"/>
  <c r="J69" i="4"/>
  <c r="I67" i="4"/>
  <c r="I68" i="4"/>
  <c r="I69" i="4"/>
  <c r="H67" i="4"/>
  <c r="H68" i="4"/>
  <c r="H69" i="4"/>
  <c r="G67" i="4"/>
  <c r="G68" i="4"/>
  <c r="G69" i="4"/>
  <c r="F67" i="4"/>
  <c r="F68" i="4"/>
  <c r="F69" i="4"/>
  <c r="E67" i="4"/>
  <c r="E68" i="4"/>
  <c r="E69" i="4"/>
  <c r="D67" i="4"/>
  <c r="D68" i="4"/>
  <c r="D69" i="4"/>
  <c r="M40" i="4"/>
  <c r="M41" i="4"/>
  <c r="M42" i="4"/>
  <c r="M43" i="4"/>
  <c r="M45" i="4"/>
  <c r="M46" i="4"/>
  <c r="M47" i="4"/>
  <c r="M48" i="4"/>
  <c r="L40" i="4"/>
  <c r="L41" i="4"/>
  <c r="L42" i="4"/>
  <c r="L43" i="4"/>
  <c r="L45" i="4"/>
  <c r="L46" i="4"/>
  <c r="L47" i="4"/>
  <c r="L48" i="4"/>
  <c r="K40" i="4"/>
  <c r="K41" i="4"/>
  <c r="K42" i="4"/>
  <c r="K43" i="4"/>
  <c r="K45" i="4"/>
  <c r="K46" i="4"/>
  <c r="K47" i="4"/>
  <c r="K48" i="4"/>
  <c r="J40" i="4"/>
  <c r="J41" i="4"/>
  <c r="J42" i="4"/>
  <c r="J43" i="4"/>
  <c r="J45" i="4"/>
  <c r="J46" i="4"/>
  <c r="J47" i="4"/>
  <c r="J48" i="4"/>
  <c r="I40" i="4"/>
  <c r="I41" i="4"/>
  <c r="I42" i="4"/>
  <c r="I43" i="4"/>
  <c r="I45" i="4"/>
  <c r="I46" i="4"/>
  <c r="I47" i="4"/>
  <c r="I48" i="4"/>
  <c r="H40" i="4"/>
  <c r="H41" i="4"/>
  <c r="H42" i="4"/>
  <c r="H43" i="4"/>
  <c r="H45" i="4"/>
  <c r="H46" i="4"/>
  <c r="H47" i="4"/>
  <c r="H48" i="4"/>
  <c r="G40" i="4"/>
  <c r="G41" i="4"/>
  <c r="G42" i="4"/>
  <c r="G43" i="4"/>
  <c r="G45" i="4"/>
  <c r="G46" i="4"/>
  <c r="G47" i="4"/>
  <c r="G48" i="4"/>
  <c r="F40" i="4"/>
  <c r="F41" i="4"/>
  <c r="F42" i="4"/>
  <c r="F43" i="4"/>
  <c r="F45" i="4"/>
  <c r="F46" i="4"/>
  <c r="F47" i="4"/>
  <c r="F48" i="4"/>
  <c r="E40" i="4"/>
  <c r="E41" i="4"/>
  <c r="E42" i="4"/>
  <c r="E43" i="4"/>
  <c r="E45" i="4"/>
  <c r="E46" i="4"/>
  <c r="E47" i="4"/>
  <c r="E48" i="4"/>
  <c r="D40" i="4"/>
  <c r="D41" i="4"/>
  <c r="D42" i="4"/>
  <c r="D43" i="4"/>
  <c r="D45" i="4"/>
  <c r="D46" i="4"/>
  <c r="D47" i="4"/>
  <c r="D48" i="4"/>
  <c r="C36" i="4"/>
  <c r="D18" i="4"/>
  <c r="D19" i="4"/>
  <c r="D20" i="4"/>
  <c r="D21" i="4"/>
  <c r="D26" i="4"/>
  <c r="D28" i="4"/>
  <c r="D30" i="4"/>
  <c r="E18" i="4"/>
  <c r="E19" i="4"/>
  <c r="E20" i="4"/>
  <c r="E21" i="4"/>
  <c r="E26" i="4"/>
  <c r="E28" i="4"/>
  <c r="E30" i="4"/>
  <c r="F18" i="4"/>
  <c r="F19" i="4"/>
  <c r="F20" i="4"/>
  <c r="F21" i="4"/>
  <c r="F26" i="4"/>
  <c r="F28" i="4"/>
  <c r="F30" i="4"/>
  <c r="G18" i="4"/>
  <c r="G19" i="4"/>
  <c r="G20" i="4"/>
  <c r="G21" i="4"/>
  <c r="G26" i="4"/>
  <c r="G28" i="4"/>
  <c r="G30" i="4"/>
  <c r="H18" i="4"/>
  <c r="H19" i="4"/>
  <c r="H20" i="4"/>
  <c r="H21" i="4"/>
  <c r="H26" i="4"/>
  <c r="H28" i="4"/>
  <c r="H30" i="4"/>
  <c r="C14" i="4"/>
  <c r="D32" i="4"/>
  <c r="E24" i="4"/>
  <c r="F24" i="4"/>
  <c r="G24" i="4"/>
  <c r="H24" i="4"/>
  <c r="D24" i="4"/>
  <c r="D23" i="4"/>
  <c r="O72" i="4"/>
  <c r="O74" i="4"/>
  <c r="N72" i="4"/>
  <c r="N74" i="4"/>
  <c r="D50" i="4"/>
  <c r="D52" i="4"/>
  <c r="E50" i="4"/>
  <c r="E52" i="4"/>
  <c r="F50" i="4"/>
  <c r="F52" i="4"/>
  <c r="G50" i="4"/>
  <c r="G52" i="4"/>
  <c r="H50" i="4"/>
  <c r="H52" i="4"/>
  <c r="I50" i="4"/>
  <c r="I52" i="4"/>
  <c r="J50" i="4"/>
  <c r="J52" i="4"/>
  <c r="K50" i="4"/>
  <c r="K52" i="4"/>
  <c r="L50" i="4"/>
  <c r="L52" i="4"/>
  <c r="M50" i="4"/>
  <c r="M52" i="4"/>
  <c r="D54" i="4"/>
  <c r="D25" i="4"/>
  <c r="E23" i="4"/>
  <c r="E25" i="4"/>
  <c r="F23" i="4"/>
  <c r="F25" i="4"/>
  <c r="G23" i="4"/>
  <c r="G25" i="4"/>
  <c r="H23" i="4"/>
  <c r="H25" i="4"/>
  <c r="N79" i="2"/>
  <c r="O79" i="2"/>
  <c r="N81" i="2"/>
  <c r="O81" i="2"/>
  <c r="E56" i="2"/>
  <c r="E58" i="2"/>
  <c r="F56" i="2"/>
  <c r="F58" i="2"/>
  <c r="G56" i="2"/>
  <c r="G58" i="2"/>
  <c r="H56" i="2"/>
  <c r="H58" i="2"/>
  <c r="I56" i="2"/>
  <c r="I58" i="2"/>
  <c r="L56" i="2"/>
  <c r="L58" i="2"/>
  <c r="M56" i="2"/>
  <c r="M58" i="2"/>
  <c r="D60" i="2"/>
  <c r="D35" i="2"/>
  <c r="E33" i="2"/>
  <c r="E35" i="2"/>
  <c r="F33" i="2"/>
  <c r="F35" i="2"/>
  <c r="G33" i="2"/>
  <c r="G35" i="2"/>
  <c r="H33" i="2"/>
  <c r="H35" i="2"/>
  <c r="D37" i="2"/>
  <c r="C38" i="6"/>
  <c r="C37" i="6"/>
  <c r="C9" i="6"/>
  <c r="D9" i="6"/>
  <c r="D10" i="6"/>
  <c r="D14" i="6"/>
  <c r="D16" i="6"/>
  <c r="D17" i="6"/>
  <c r="D20" i="6"/>
  <c r="D21" i="6"/>
  <c r="D22" i="6"/>
  <c r="D11" i="6"/>
  <c r="D25" i="6"/>
  <c r="D26" i="6"/>
  <c r="D27" i="6"/>
  <c r="D30" i="6"/>
  <c r="D31" i="6"/>
  <c r="D32" i="6"/>
  <c r="E1" i="5"/>
  <c r="E2" i="5"/>
  <c r="E3" i="5"/>
  <c r="E4" i="5"/>
  <c r="E5" i="5"/>
  <c r="E6" i="5"/>
  <c r="E7" i="5"/>
  <c r="E8" i="5"/>
  <c r="K57" i="6"/>
  <c r="C10" i="6"/>
  <c r="C14" i="6"/>
  <c r="C16" i="6"/>
  <c r="C17" i="6"/>
  <c r="C11" i="6"/>
  <c r="C25" i="6"/>
  <c r="C26" i="6"/>
  <c r="C27" i="6"/>
  <c r="C30" i="6"/>
  <c r="C31" i="6"/>
  <c r="C32" i="6"/>
  <c r="D40" i="6"/>
  <c r="C40" i="6"/>
  <c r="E40" i="6"/>
  <c r="D50" i="6"/>
  <c r="D41" i="6"/>
  <c r="C41" i="6"/>
  <c r="E41" i="6"/>
  <c r="E35" i="6"/>
  <c r="K13" i="6"/>
  <c r="D15" i="6"/>
  <c r="G56" i="6"/>
  <c r="G57" i="6"/>
  <c r="G59" i="6"/>
  <c r="G60" i="6"/>
  <c r="F56" i="6"/>
  <c r="F57" i="6"/>
  <c r="F59" i="6"/>
  <c r="F60" i="6"/>
  <c r="E56" i="6"/>
  <c r="E57" i="6"/>
  <c r="E59" i="6"/>
  <c r="E60" i="6"/>
  <c r="D56" i="6"/>
  <c r="D57" i="6"/>
  <c r="D59" i="6"/>
  <c r="D60" i="6"/>
  <c r="C56" i="6"/>
  <c r="C57" i="6"/>
  <c r="C59" i="6"/>
  <c r="C60" i="6"/>
  <c r="D52" i="6"/>
  <c r="G40" i="6"/>
  <c r="E31" i="6"/>
  <c r="E30" i="6"/>
  <c r="E26" i="6"/>
  <c r="E25" i="6"/>
  <c r="E21" i="6"/>
  <c r="I10" i="6"/>
  <c r="D8" i="6"/>
  <c r="D6" i="6"/>
  <c r="C6" i="6"/>
  <c r="K5" i="6"/>
  <c r="F5" i="6"/>
  <c r="E4" i="6"/>
  <c r="F4" i="6"/>
  <c r="O10" i="1"/>
  <c r="N10" i="1"/>
  <c r="M10" i="1"/>
  <c r="L10" i="1"/>
  <c r="K10" i="1"/>
  <c r="J10" i="1"/>
  <c r="I10" i="1"/>
  <c r="H10" i="1"/>
  <c r="G10" i="1"/>
  <c r="F10" i="1"/>
  <c r="E10" i="1"/>
  <c r="D10" i="1"/>
  <c r="O5" i="1"/>
  <c r="O7" i="1"/>
  <c r="N5" i="1"/>
  <c r="N7" i="1"/>
  <c r="M5" i="1"/>
  <c r="M7" i="1"/>
  <c r="L5" i="1"/>
  <c r="L7" i="1"/>
  <c r="K5" i="1"/>
  <c r="K7" i="1"/>
  <c r="J5" i="1"/>
  <c r="J7" i="1"/>
  <c r="I5" i="1"/>
  <c r="I7" i="1"/>
  <c r="H5" i="1"/>
  <c r="H7" i="1"/>
  <c r="G5" i="1"/>
  <c r="G7" i="1"/>
  <c r="F5" i="1"/>
  <c r="F7" i="1"/>
  <c r="E5" i="1"/>
  <c r="E7" i="1"/>
  <c r="D5" i="1"/>
  <c r="D7" i="1"/>
  <c r="E18" i="1"/>
  <c r="E20" i="1"/>
  <c r="F18" i="1"/>
  <c r="F20" i="1"/>
  <c r="G18" i="1"/>
  <c r="G20" i="1"/>
  <c r="H18" i="1"/>
  <c r="H20" i="1"/>
  <c r="I18" i="1"/>
  <c r="I20" i="1"/>
  <c r="J18" i="1"/>
  <c r="J20" i="1"/>
  <c r="K18" i="1"/>
  <c r="K20" i="1"/>
  <c r="L18" i="1"/>
  <c r="L20" i="1"/>
  <c r="M18" i="1"/>
  <c r="M20" i="1"/>
  <c r="N18" i="1"/>
  <c r="N20" i="1"/>
  <c r="O18" i="1"/>
  <c r="O20" i="1"/>
  <c r="D18" i="1"/>
  <c r="D20" i="1"/>
  <c r="E23" i="1"/>
  <c r="F23" i="1"/>
  <c r="G23" i="1"/>
  <c r="H23" i="1"/>
  <c r="I23" i="1"/>
  <c r="J23" i="1"/>
  <c r="K23" i="1"/>
  <c r="L23" i="1"/>
  <c r="M23" i="1"/>
  <c r="N23" i="1"/>
  <c r="O23" i="1"/>
  <c r="D23" i="1"/>
</calcChain>
</file>

<file path=xl/comments1.xml><?xml version="1.0" encoding="utf-8"?>
<comments xmlns="http://schemas.openxmlformats.org/spreadsheetml/2006/main">
  <authors>
    <author>Autor</author>
  </authors>
  <commentList>
    <comment ref="A20" authorId="0">
      <text>
        <r>
          <rPr>
            <b/>
            <sz val="9"/>
            <color indexed="81"/>
            <rFont val="Calibri"/>
            <family val="2"/>
          </rPr>
          <t>Autor:</t>
        </r>
        <r>
          <rPr>
            <sz val="9"/>
            <color indexed="81"/>
            <rFont val="Calibri"/>
            <family val="2"/>
          </rPr>
          <t xml:space="preserve">
Se asume un escenario de leasing</t>
        </r>
      </text>
    </comment>
    <comment ref="A30" authorId="0">
      <text>
        <r>
          <rPr>
            <b/>
            <sz val="9"/>
            <color indexed="81"/>
            <rFont val="Calibri"/>
            <family val="2"/>
          </rPr>
          <t>Autor:</t>
        </r>
        <r>
          <rPr>
            <sz val="9"/>
            <color indexed="81"/>
            <rFont val="Calibri"/>
            <family val="2"/>
          </rPr>
          <t xml:space="preserve">
 Se igualan debido a q sólo se considera la componente diesel del híbrido???</t>
        </r>
      </text>
    </comment>
    <comment ref="C35" authorId="0">
      <text>
        <r>
          <rPr>
            <b/>
            <sz val="9"/>
            <color indexed="81"/>
            <rFont val="Calibri"/>
            <family val="2"/>
          </rPr>
          <t xml:space="preserve">Autor:
</t>
        </r>
      </text>
    </comment>
    <comment ref="A44" authorId="0">
      <text>
        <r>
          <rPr>
            <b/>
            <sz val="9"/>
            <color indexed="81"/>
            <rFont val="Calibri"/>
            <family val="2"/>
          </rPr>
          <t>Autor:</t>
        </r>
        <r>
          <rPr>
            <sz val="9"/>
            <color indexed="81"/>
            <rFont val="Calibri"/>
            <family val="2"/>
          </rPr>
          <t xml:space="preserve">
 Se igualan debido a q sólo se considera la componente diesel del híbrido???</t>
        </r>
      </text>
    </comment>
  </commentList>
</comments>
</file>

<file path=xl/comments2.xml><?xml version="1.0" encoding="utf-8"?>
<comments xmlns="http://schemas.openxmlformats.org/spreadsheetml/2006/main">
  <authors>
    <author>Catalina Galvez Gutierrez</author>
  </authors>
  <commentList>
    <comment ref="A19" authorId="0">
      <text>
        <r>
          <rPr>
            <b/>
            <sz val="9"/>
            <color indexed="81"/>
            <rFont val="Calibri"/>
            <family val="2"/>
          </rPr>
          <t>Catalina Galvez Gutierrez:</t>
        </r>
        <r>
          <rPr>
            <sz val="9"/>
            <color indexed="81"/>
            <rFont val="Calibri"/>
            <family val="2"/>
          </rPr>
          <t xml:space="preserve">
Preguntar RT</t>
        </r>
      </text>
    </comment>
    <comment ref="A42" authorId="0">
      <text>
        <r>
          <rPr>
            <b/>
            <sz val="9"/>
            <color indexed="81"/>
            <rFont val="Calibri"/>
            <family val="2"/>
          </rPr>
          <t>Catalina Galvez Gutierrez:</t>
        </r>
        <r>
          <rPr>
            <sz val="9"/>
            <color indexed="81"/>
            <rFont val="Calibri"/>
            <family val="2"/>
          </rPr>
          <t xml:space="preserve">
Preguntar RT</t>
        </r>
      </text>
    </comment>
  </commentList>
</comments>
</file>

<file path=xl/comments3.xml><?xml version="1.0" encoding="utf-8"?>
<comments xmlns="http://schemas.openxmlformats.org/spreadsheetml/2006/main">
  <authors>
    <author>Catalina Galvez Gutierrez</author>
  </authors>
  <commentList>
    <comment ref="A19" authorId="0">
      <text>
        <r>
          <rPr>
            <b/>
            <sz val="9"/>
            <color indexed="81"/>
            <rFont val="Calibri"/>
            <family val="2"/>
          </rPr>
          <t>Catalina Galvez Gutierrez:</t>
        </r>
        <r>
          <rPr>
            <sz val="9"/>
            <color indexed="81"/>
            <rFont val="Calibri"/>
            <family val="2"/>
          </rPr>
          <t xml:space="preserve">
Preguntar RT</t>
        </r>
      </text>
    </comment>
    <comment ref="A42" authorId="0">
      <text>
        <r>
          <rPr>
            <b/>
            <sz val="9"/>
            <color indexed="81"/>
            <rFont val="Calibri"/>
            <family val="2"/>
          </rPr>
          <t>Catalina Galvez Gutierrez:</t>
        </r>
        <r>
          <rPr>
            <sz val="9"/>
            <color indexed="81"/>
            <rFont val="Calibri"/>
            <family val="2"/>
          </rPr>
          <t xml:space="preserve">
Preguntar RT</t>
        </r>
      </text>
    </comment>
  </commentList>
</comments>
</file>

<file path=xl/comments4.xml><?xml version="1.0" encoding="utf-8"?>
<comments xmlns="http://schemas.openxmlformats.org/spreadsheetml/2006/main">
  <authors>
    <author>Catalina Galvez Gutierrez</author>
  </authors>
  <commentList>
    <comment ref="A19" authorId="0">
      <text>
        <r>
          <rPr>
            <b/>
            <sz val="9"/>
            <color indexed="81"/>
            <rFont val="Calibri"/>
            <family val="2"/>
          </rPr>
          <t>Catalina Galvez Gutierrez:</t>
        </r>
        <r>
          <rPr>
            <sz val="9"/>
            <color indexed="81"/>
            <rFont val="Calibri"/>
            <family val="2"/>
          </rPr>
          <t xml:space="preserve">
Preguntar RT</t>
        </r>
      </text>
    </comment>
    <comment ref="A42" authorId="0">
      <text>
        <r>
          <rPr>
            <b/>
            <sz val="9"/>
            <color indexed="81"/>
            <rFont val="Calibri"/>
            <family val="2"/>
          </rPr>
          <t>Catalina Galvez Gutierrez:</t>
        </r>
        <r>
          <rPr>
            <sz val="9"/>
            <color indexed="81"/>
            <rFont val="Calibri"/>
            <family val="2"/>
          </rPr>
          <t xml:space="preserve">
Preguntar RT</t>
        </r>
      </text>
    </comment>
  </commentList>
</comments>
</file>

<file path=xl/comments5.xml><?xml version="1.0" encoding="utf-8"?>
<comments xmlns="http://schemas.openxmlformats.org/spreadsheetml/2006/main">
  <authors>
    <author>Catalina Galvez Gutierrez</author>
  </authors>
  <commentList>
    <comment ref="A19" authorId="0">
      <text>
        <r>
          <rPr>
            <b/>
            <sz val="9"/>
            <color indexed="81"/>
            <rFont val="Calibri"/>
            <family val="2"/>
          </rPr>
          <t>Catalina Galvez Gutierrez:</t>
        </r>
        <r>
          <rPr>
            <sz val="9"/>
            <color indexed="81"/>
            <rFont val="Calibri"/>
            <family val="2"/>
          </rPr>
          <t xml:space="preserve">
Preguntar RT</t>
        </r>
      </text>
    </comment>
  </commentList>
</comments>
</file>

<file path=xl/comments6.xml><?xml version="1.0" encoding="utf-8"?>
<comments xmlns="http://schemas.openxmlformats.org/spreadsheetml/2006/main">
  <authors>
    <author>Catalina Galvez Gutierrez</author>
  </authors>
  <commentList>
    <comment ref="A19" authorId="0">
      <text>
        <r>
          <rPr>
            <b/>
            <sz val="9"/>
            <color indexed="81"/>
            <rFont val="Calibri"/>
            <family val="2"/>
          </rPr>
          <t>Catalina Galvez Gutierrez:</t>
        </r>
        <r>
          <rPr>
            <sz val="9"/>
            <color indexed="81"/>
            <rFont val="Calibri"/>
            <family val="2"/>
          </rPr>
          <t xml:space="preserve">
Preguntar RT</t>
        </r>
      </text>
    </comment>
  </commentList>
</comments>
</file>

<file path=xl/comments7.xml><?xml version="1.0" encoding="utf-8"?>
<comments xmlns="http://schemas.openxmlformats.org/spreadsheetml/2006/main">
  <authors>
    <author>Catalina Galvez Gutierrez</author>
  </authors>
  <commentList>
    <comment ref="A15" authorId="0">
      <text>
        <r>
          <rPr>
            <b/>
            <sz val="9"/>
            <color indexed="81"/>
            <rFont val="Calibri"/>
            <family val="2"/>
          </rPr>
          <t>Catalina Galvez Gutierrez:</t>
        </r>
        <r>
          <rPr>
            <sz val="9"/>
            <color indexed="81"/>
            <rFont val="Calibri"/>
            <family val="2"/>
          </rPr>
          <t xml:space="preserve">
Preguntar RT</t>
        </r>
      </text>
    </comment>
  </commentList>
</comments>
</file>

<file path=xl/comments8.xml><?xml version="1.0" encoding="utf-8"?>
<comments xmlns="http://schemas.openxmlformats.org/spreadsheetml/2006/main">
  <authors>
    <author>Catalina Galvez Gutierrez</author>
  </authors>
  <commentList>
    <comment ref="A14" authorId="0">
      <text>
        <r>
          <rPr>
            <b/>
            <sz val="9"/>
            <color indexed="81"/>
            <rFont val="Calibri"/>
            <family val="2"/>
          </rPr>
          <t>Catalina Galvez Gutierrez:</t>
        </r>
        <r>
          <rPr>
            <sz val="9"/>
            <color indexed="81"/>
            <rFont val="Calibri"/>
            <family val="2"/>
          </rPr>
          <t xml:space="preserve">
Preguntar RT</t>
        </r>
      </text>
    </comment>
    <comment ref="I38" authorId="0">
      <text>
        <r>
          <rPr>
            <b/>
            <sz val="9"/>
            <color indexed="81"/>
            <rFont val="Calibri"/>
            <family val="2"/>
          </rPr>
          <t>Catalina Galvez Gutierrez:</t>
        </r>
        <r>
          <rPr>
            <sz val="9"/>
            <color indexed="81"/>
            <rFont val="Calibri"/>
            <family val="2"/>
          </rPr>
          <t xml:space="preserve">
</t>
        </r>
      </text>
    </comment>
  </commentList>
</comments>
</file>

<file path=xl/comments9.xml><?xml version="1.0" encoding="utf-8"?>
<comments xmlns="http://schemas.openxmlformats.org/spreadsheetml/2006/main">
  <authors>
    <author>Autor</author>
  </authors>
  <commentList>
    <comment ref="A20" authorId="0">
      <text>
        <r>
          <rPr>
            <b/>
            <sz val="9"/>
            <color indexed="81"/>
            <rFont val="Calibri"/>
            <family val="2"/>
          </rPr>
          <t>Autor:</t>
        </r>
        <r>
          <rPr>
            <sz val="9"/>
            <color indexed="81"/>
            <rFont val="Calibri"/>
            <family val="2"/>
          </rPr>
          <t xml:space="preserve">
Se asume un escenario de leasing</t>
        </r>
      </text>
    </comment>
    <comment ref="A30" authorId="0">
      <text>
        <r>
          <rPr>
            <b/>
            <sz val="9"/>
            <color indexed="81"/>
            <rFont val="Calibri"/>
            <family val="2"/>
          </rPr>
          <t>Autor:</t>
        </r>
        <r>
          <rPr>
            <sz val="9"/>
            <color indexed="81"/>
            <rFont val="Calibri"/>
            <family val="2"/>
          </rPr>
          <t xml:space="preserve">
 Se igualan debido a q sólo se considera la componente diesel del híbrido???</t>
        </r>
      </text>
    </comment>
    <comment ref="C35" authorId="0">
      <text>
        <r>
          <rPr>
            <b/>
            <sz val="9"/>
            <color indexed="81"/>
            <rFont val="Calibri"/>
            <family val="2"/>
          </rPr>
          <t xml:space="preserve">Autor:
</t>
        </r>
      </text>
    </comment>
    <comment ref="A47" authorId="0">
      <text>
        <r>
          <rPr>
            <b/>
            <sz val="9"/>
            <color indexed="81"/>
            <rFont val="Calibri"/>
            <family val="2"/>
          </rPr>
          <t>Autor:</t>
        </r>
        <r>
          <rPr>
            <sz val="9"/>
            <color indexed="81"/>
            <rFont val="Calibri"/>
            <family val="2"/>
          </rPr>
          <t xml:space="preserve">
 Se igualan debido a q sólo se considera la componente diesel del híbrido???</t>
        </r>
      </text>
    </comment>
  </commentList>
</comments>
</file>

<file path=xl/sharedStrings.xml><?xml version="1.0" encoding="utf-8"?>
<sst xmlns="http://schemas.openxmlformats.org/spreadsheetml/2006/main" count="1568" uniqueCount="235">
  <si>
    <t>Mes 0</t>
  </si>
  <si>
    <t>Mes 1</t>
  </si>
  <si>
    <t>Mes 2</t>
  </si>
  <si>
    <t>Mes 3</t>
  </si>
  <si>
    <t>Mes 4</t>
  </si>
  <si>
    <t>Mes 5</t>
  </si>
  <si>
    <t>Mes 6</t>
  </si>
  <si>
    <t>Mes 7</t>
  </si>
  <si>
    <t>Mes 8</t>
  </si>
  <si>
    <t>Mes 9</t>
  </si>
  <si>
    <t>Mes 10</t>
  </si>
  <si>
    <t>Mes 11</t>
  </si>
  <si>
    <t>Mes 12</t>
  </si>
  <si>
    <t>Consumo Combustible</t>
  </si>
  <si>
    <t>Ahorro combustible</t>
  </si>
  <si>
    <t>Kilometraje</t>
  </si>
  <si>
    <t>Unidad</t>
  </si>
  <si>
    <t>USD</t>
  </si>
  <si>
    <t>km</t>
  </si>
  <si>
    <t>USD/km</t>
  </si>
  <si>
    <t>%</t>
  </si>
  <si>
    <t>Híbrido</t>
  </si>
  <si>
    <t>Costo Combustible</t>
  </si>
  <si>
    <t>Costo Mantención</t>
  </si>
  <si>
    <t>Ahorro</t>
  </si>
  <si>
    <t>Convencional</t>
  </si>
  <si>
    <t>Mantención chasis</t>
  </si>
  <si>
    <t>Bus</t>
  </si>
  <si>
    <t>Inv Inicial - Bus</t>
  </si>
  <si>
    <t>Inv Inicial - Infraest</t>
  </si>
  <si>
    <t>RRHH</t>
  </si>
  <si>
    <t>si</t>
  </si>
  <si>
    <t>?</t>
  </si>
  <si>
    <t>Cantidad Buses</t>
  </si>
  <si>
    <t>Bus Diesel Euro 5</t>
  </si>
  <si>
    <t>Híbrido (Elect + Diesel Euro 5)</t>
  </si>
  <si>
    <t>Diferencia</t>
  </si>
  <si>
    <t xml:space="preserve">Inversión inicial bus </t>
  </si>
  <si>
    <t>Kilometraje anual</t>
  </si>
  <si>
    <t>Kms</t>
  </si>
  <si>
    <t>Años de Operación</t>
  </si>
  <si>
    <t>años</t>
  </si>
  <si>
    <t>Rendimiento Diesel</t>
  </si>
  <si>
    <t>Kms/lt</t>
  </si>
  <si>
    <t>USD/lt</t>
  </si>
  <si>
    <t>Año 0</t>
  </si>
  <si>
    <t>Año 1</t>
  </si>
  <si>
    <t>Año 2</t>
  </si>
  <si>
    <t>Año 3</t>
  </si>
  <si>
    <t>Año 4</t>
  </si>
  <si>
    <t>Año 5</t>
  </si>
  <si>
    <t>Año 6</t>
  </si>
  <si>
    <t>Año 7</t>
  </si>
  <si>
    <t>Año 8</t>
  </si>
  <si>
    <t>Año 9</t>
  </si>
  <si>
    <t>Año 10</t>
  </si>
  <si>
    <t>Año 11</t>
  </si>
  <si>
    <t>Año 12</t>
  </si>
  <si>
    <t>Valor Bus</t>
  </si>
  <si>
    <t>Recambio batería</t>
  </si>
  <si>
    <t>Recambio carrocería</t>
  </si>
  <si>
    <t>Inversión Inicial - Buses</t>
  </si>
  <si>
    <t>Modelo de Negocio Leasing Baterías</t>
  </si>
  <si>
    <r>
      <t xml:space="preserve">Datos Generales </t>
    </r>
    <r>
      <rPr>
        <sz val="10"/>
        <rFont val="Arial"/>
        <family val="2"/>
      </rPr>
      <t>(Valores en USD)</t>
    </r>
  </si>
  <si>
    <t>Mayor costo del Híbrido</t>
  </si>
  <si>
    <t>Kilometraje mes</t>
  </si>
  <si>
    <t xml:space="preserve">Rendimiento Diesel </t>
  </si>
  <si>
    <t>Lts/km</t>
  </si>
  <si>
    <t>Considerando un 30% ahorro combustible, por calidad de conductores en operación</t>
  </si>
  <si>
    <t xml:space="preserve">Valor Costo Diesel </t>
  </si>
  <si>
    <t xml:space="preserve">Valor Costo Urea </t>
  </si>
  <si>
    <t>Costos Combustible Diesel</t>
  </si>
  <si>
    <t>Costo Diesel por Km recorrido bus Diesel</t>
  </si>
  <si>
    <t>USD/Km</t>
  </si>
  <si>
    <t>Ahorro combustible Híbrido (32%)</t>
  </si>
  <si>
    <t>Costo combustible Diesel por mes/bus</t>
  </si>
  <si>
    <t>Costos Contrato Batería</t>
  </si>
  <si>
    <t>Valor contrato por batería (con IVA)</t>
  </si>
  <si>
    <t>Costo contrato batería por mes/Bus</t>
  </si>
  <si>
    <t>Costos en Urea</t>
  </si>
  <si>
    <t>Costo en Urea por km recorrido (5% consumo diesel)</t>
  </si>
  <si>
    <t>Costo Urea por mes/bus</t>
  </si>
  <si>
    <t>Costos en Mantención Chasis (*)</t>
  </si>
  <si>
    <t>Costo en mantención chasis</t>
  </si>
  <si>
    <t>Costo en mantención chasis por mes bus</t>
  </si>
  <si>
    <t>Cuota mensual del Rent estimativa o referencial</t>
  </si>
  <si>
    <t>Sub Total Mes (sin &gt; pago por operación Híbrido)</t>
  </si>
  <si>
    <t>Estos son los PK para bus tipo B2 en Mayo 2013</t>
  </si>
  <si>
    <t xml:space="preserve">Cálculos de mayor pago de PK para buses Híbridos </t>
  </si>
  <si>
    <t>Objetivo mínivo de diferencia a cubrir por mes</t>
  </si>
  <si>
    <t>U1</t>
  </si>
  <si>
    <t>PK hoy del B2 Diesel (bus de 12 mts.) CLP$</t>
  </si>
  <si>
    <t>a Junio del 2011</t>
  </si>
  <si>
    <t>U2</t>
  </si>
  <si>
    <t>Actualización del valor PK (mas 5%)</t>
  </si>
  <si>
    <t>a Mayo 2013</t>
  </si>
  <si>
    <t>U3</t>
  </si>
  <si>
    <t>U4</t>
  </si>
  <si>
    <t>Con</t>
  </si>
  <si>
    <t>U5</t>
  </si>
  <si>
    <t>% de mayor pago de PK para Híbrido</t>
  </si>
  <si>
    <t>U6</t>
  </si>
  <si>
    <t>Modelación del PK con mayor pago para Híbrido</t>
  </si>
  <si>
    <t>U7</t>
  </si>
  <si>
    <t>Diferencia positiva del PK del Híbrido (CLP$)</t>
  </si>
  <si>
    <t>Kms promedio por mes = 7500</t>
  </si>
  <si>
    <t>En USD por mes</t>
  </si>
  <si>
    <t>Diferencia Positiva o Negativa</t>
  </si>
  <si>
    <t>No cubre</t>
  </si>
  <si>
    <t>Cubre</t>
  </si>
  <si>
    <t>Costo combustible Diesel por año/bus</t>
  </si>
  <si>
    <t>Costo contrato batería por año/Bus</t>
  </si>
  <si>
    <t>Costo Urea por año/bus</t>
  </si>
  <si>
    <t>Costo en mantención chasis por año bus</t>
  </si>
  <si>
    <r>
      <t xml:space="preserve">Cuota Rent promedio mes a </t>
    </r>
    <r>
      <rPr>
        <b/>
        <sz val="10"/>
        <color theme="5"/>
        <rFont val="Arial"/>
      </rPr>
      <t>5 años</t>
    </r>
    <r>
      <rPr>
        <b/>
        <sz val="10"/>
        <rFont val="Arial"/>
        <family val="2"/>
      </rPr>
      <t xml:space="preserve"> por bus</t>
    </r>
  </si>
  <si>
    <t>Costos en Mantención RRHH</t>
  </si>
  <si>
    <t>Costo en mantención RRHH</t>
  </si>
  <si>
    <t>Costo en mantención RRHH para 100 buses/mes</t>
  </si>
  <si>
    <t>Costo en mantención RRHH para 100 buses/año</t>
  </si>
  <si>
    <t>Sub Total Anual (sin &gt; pago por operación Híbrido)</t>
  </si>
  <si>
    <t xml:space="preserve">Costo combustible Diesel </t>
  </si>
  <si>
    <t xml:space="preserve">Costo contrato batería </t>
  </si>
  <si>
    <t xml:space="preserve">Costo Urea </t>
  </si>
  <si>
    <t xml:space="preserve">Costo en mantención chasis </t>
  </si>
  <si>
    <r>
      <t xml:space="preserve">Cuota Rent promedio anual a </t>
    </r>
    <r>
      <rPr>
        <sz val="10"/>
        <color theme="5"/>
        <rFont val="Arial"/>
      </rPr>
      <t xml:space="preserve">5 años </t>
    </r>
  </si>
  <si>
    <t>Ingreso</t>
  </si>
  <si>
    <t>TOTAL</t>
  </si>
  <si>
    <t>Total Costos</t>
  </si>
  <si>
    <t>Tasa descuento</t>
  </si>
  <si>
    <t>Diesel</t>
  </si>
  <si>
    <t>VAN (12 años)</t>
  </si>
  <si>
    <t>VAN (10 años)</t>
  </si>
  <si>
    <t>VAN (5 años)</t>
  </si>
  <si>
    <t xml:space="preserve">Bus Diesel </t>
  </si>
  <si>
    <t>Bus Híbrido</t>
  </si>
  <si>
    <t>Ej: técnico electrónico, mecánico tradicional, otros</t>
  </si>
  <si>
    <t xml:space="preserve">Costo Estimado anual insumos y taller 100 bueses </t>
  </si>
  <si>
    <t>Costo estimado combustible bus/año</t>
  </si>
  <si>
    <t>Costo estimado anual en mantención chasis 100 buses (insumos y taller)</t>
  </si>
  <si>
    <t xml:space="preserve">Costo estimado anual en RRHH para 100 buses </t>
  </si>
  <si>
    <t>Ingreso estimado/promedio (Yt) anual 100 buses</t>
  </si>
  <si>
    <t>Costos operacionales estimados anuales 100 buses</t>
  </si>
  <si>
    <t xml:space="preserve">Costos estimados anuales RRHH para 100 buses </t>
  </si>
  <si>
    <t>Estimación RRHH necesarios en un patio</t>
  </si>
  <si>
    <t>Tasa interés leasing</t>
  </si>
  <si>
    <t>Costos financieros</t>
  </si>
  <si>
    <t>Plazo en años</t>
  </si>
  <si>
    <t>Staff</t>
  </si>
  <si>
    <t>Sueldo RRHH mensual (USD)</t>
  </si>
  <si>
    <t>Costos Operacionales</t>
  </si>
  <si>
    <t>Costos insumos y taller</t>
  </si>
  <si>
    <t>Evaluación a 5 años</t>
  </si>
  <si>
    <t>Evaluación a 10 años</t>
  </si>
  <si>
    <r>
      <t>Cuota Rent promedio anual a 10</t>
    </r>
    <r>
      <rPr>
        <sz val="10"/>
        <color theme="5"/>
        <rFont val="Arial"/>
      </rPr>
      <t xml:space="preserve"> años </t>
    </r>
  </si>
  <si>
    <t>Evaluación a 12 años</t>
  </si>
  <si>
    <t>Insumos y taller mensual (USD)</t>
  </si>
  <si>
    <r>
      <t xml:space="preserve">Cuota Rent promedio </t>
    </r>
    <r>
      <rPr>
        <b/>
        <sz val="10"/>
        <color theme="5"/>
        <rFont val="Arial"/>
      </rPr>
      <t xml:space="preserve">anual a 5 años </t>
    </r>
    <r>
      <rPr>
        <b/>
        <sz val="10"/>
        <rFont val="Arial"/>
        <family val="2"/>
      </rPr>
      <t>por bus</t>
    </r>
  </si>
  <si>
    <r>
      <t xml:space="preserve">Cuota Rent promedio </t>
    </r>
    <r>
      <rPr>
        <b/>
        <sz val="10"/>
        <color theme="5"/>
        <rFont val="Arial"/>
      </rPr>
      <t>anual a 10 años p</t>
    </r>
    <r>
      <rPr>
        <b/>
        <sz val="10"/>
        <rFont val="Arial"/>
        <family val="2"/>
      </rPr>
      <t>or bus</t>
    </r>
  </si>
  <si>
    <r>
      <t xml:space="preserve">Cuota Rent promedio </t>
    </r>
    <r>
      <rPr>
        <b/>
        <sz val="10"/>
        <color theme="5"/>
        <rFont val="Arial"/>
      </rPr>
      <t xml:space="preserve">anual a 12 años </t>
    </r>
    <r>
      <rPr>
        <b/>
        <sz val="10"/>
        <rFont val="Arial"/>
        <family val="2"/>
      </rPr>
      <t>por bus</t>
    </r>
  </si>
  <si>
    <t>Ingreso por bus</t>
  </si>
  <si>
    <t>días funcionando</t>
  </si>
  <si>
    <t>Ingreso diario promedio</t>
  </si>
  <si>
    <t>Tasa interés leasing (anual)</t>
  </si>
  <si>
    <t>Conductores por bus</t>
  </si>
  <si>
    <t>Conductores</t>
  </si>
  <si>
    <t>RRHH (3)</t>
  </si>
  <si>
    <t>Sueldo conductor mes</t>
  </si>
  <si>
    <t>Costo Patio (RRHH y operacionales)</t>
  </si>
  <si>
    <r>
      <t>Cuota Rent promedio anual a 12</t>
    </r>
    <r>
      <rPr>
        <sz val="10"/>
        <color theme="5"/>
        <rFont val="Arial"/>
      </rPr>
      <t xml:space="preserve"> años </t>
    </r>
  </si>
  <si>
    <t>supervisor (3)</t>
  </si>
  <si>
    <t>mecanico  ()3</t>
  </si>
  <si>
    <t xml:space="preserve">electrico </t>
  </si>
  <si>
    <t>carrocero</t>
  </si>
  <si>
    <t>lubricador</t>
  </si>
  <si>
    <t>electrónico</t>
  </si>
  <si>
    <t>administrativa (8)</t>
  </si>
  <si>
    <t>operaciones</t>
  </si>
  <si>
    <t>Terreno</t>
  </si>
  <si>
    <t>Costo mensual insumos y taller por bus</t>
  </si>
  <si>
    <t>RRHH por mes</t>
  </si>
  <si>
    <t>Costos Infraestructura mensual</t>
  </si>
  <si>
    <t>Ingreso por bus mensual</t>
  </si>
  <si>
    <t>Infraestructura</t>
  </si>
  <si>
    <t>Costo Patio (RRHH)</t>
  </si>
  <si>
    <r>
      <t>Cuota Rent promedio mes</t>
    </r>
    <r>
      <rPr>
        <b/>
        <sz val="10"/>
        <color theme="5"/>
        <rFont val="Arial"/>
      </rPr>
      <t xml:space="preserve"> a 10 años p</t>
    </r>
    <r>
      <rPr>
        <b/>
        <sz val="10"/>
        <rFont val="Arial"/>
        <family val="2"/>
      </rPr>
      <t>or bus</t>
    </r>
  </si>
  <si>
    <r>
      <t>Cuota Rent promedio mes</t>
    </r>
    <r>
      <rPr>
        <b/>
        <sz val="10"/>
        <color theme="5"/>
        <rFont val="Arial"/>
      </rPr>
      <t xml:space="preserve"> a 12 años </t>
    </r>
    <r>
      <rPr>
        <b/>
        <sz val="10"/>
        <rFont val="Arial"/>
        <family val="2"/>
      </rPr>
      <t>por bus</t>
    </r>
  </si>
  <si>
    <t>Sub Total Mes (sin &gt; pago por operación Híbrido) 5 años</t>
  </si>
  <si>
    <t>Sub Total Mes (sin &gt; pago por operación Híbrido) 10 años</t>
  </si>
  <si>
    <t>Sub Total Mes (sin &gt; pago por operación Híbrido) 12 años</t>
  </si>
  <si>
    <r>
      <t xml:space="preserve">Cuota Rent promedio anual a </t>
    </r>
    <r>
      <rPr>
        <sz val="10"/>
        <color theme="5"/>
        <rFont val="Arial"/>
      </rPr>
      <t xml:space="preserve">10 años </t>
    </r>
  </si>
  <si>
    <t xml:space="preserve"> 5 años</t>
  </si>
  <si>
    <t xml:space="preserve"> 10 años</t>
  </si>
  <si>
    <t xml:space="preserve"> 12 años</t>
  </si>
  <si>
    <t>Electrico por año</t>
  </si>
  <si>
    <t>10 años</t>
  </si>
  <si>
    <t>12 años</t>
  </si>
  <si>
    <t>5 años</t>
  </si>
  <si>
    <t>Eléctrico por año</t>
  </si>
  <si>
    <t>Ingreso bus mensual convencional</t>
  </si>
  <si>
    <t>Diferencia Ingreso bus mensual</t>
  </si>
  <si>
    <r>
      <t xml:space="preserve">Cuota Rent promedio anual a </t>
    </r>
    <r>
      <rPr>
        <sz val="10"/>
        <color theme="5"/>
        <rFont val="Arial"/>
      </rPr>
      <t xml:space="preserve">12 años </t>
    </r>
  </si>
  <si>
    <t>Eléctrico</t>
  </si>
  <si>
    <t>Gas</t>
  </si>
  <si>
    <t>Valor Bus DIFERENCIA</t>
  </si>
  <si>
    <t>Item</t>
  </si>
  <si>
    <t xml:space="preserve">Híbrido </t>
  </si>
  <si>
    <t xml:space="preserve">Eléctrico </t>
  </si>
  <si>
    <t xml:space="preserve">Inversión </t>
  </si>
  <si>
    <t>Costos de Operación-Combustible</t>
  </si>
  <si>
    <t>30% menos</t>
  </si>
  <si>
    <t>60% menor</t>
  </si>
  <si>
    <t>Similar</t>
  </si>
  <si>
    <t>Costos de Mantenimiento</t>
  </si>
  <si>
    <t>Electrónica más compleja</t>
  </si>
  <si>
    <t>Electrónica más compleja, menores costos mecánicos</t>
  </si>
  <si>
    <t>Menor</t>
  </si>
  <si>
    <t>Existente</t>
  </si>
  <si>
    <t>Dedicada</t>
  </si>
  <si>
    <t>Autonomía</t>
  </si>
  <si>
    <t xml:space="preserve">Alta </t>
  </si>
  <si>
    <t>Media-Baja</t>
  </si>
  <si>
    <t>Alta</t>
  </si>
  <si>
    <t>Historia - Experiencia</t>
  </si>
  <si>
    <t>Media</t>
  </si>
  <si>
    <t>5 AÑOS</t>
  </si>
  <si>
    <t>10 AÑOS</t>
  </si>
  <si>
    <t>12 AÑOS</t>
  </si>
  <si>
    <t xml:space="preserve">Cuota Rent promedio anual a 5 años </t>
  </si>
  <si>
    <t>HIBRIDO</t>
  </si>
  <si>
    <t>ELÉCTRICO</t>
  </si>
  <si>
    <t>GAS</t>
  </si>
  <si>
    <t>Diferencia Ingreso bus mensual (USD)</t>
  </si>
  <si>
    <t>Variación Tarifa (%)</t>
  </si>
  <si>
    <t>Ingreso bus mensual convencional (USD)</t>
  </si>
  <si>
    <t>ITEM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</si>
</sst>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1" formatCode="_ * #,##0_ ;_ * \-#,##0_ ;_ * &quot;-&quot;_ ;_ @_ "/>
    <numFmt numFmtId="43" formatCode="_ * #,##0.00_ ;_ * \-#,##0.00_ ;_ * &quot;-&quot;??_ ;_ @_ "/>
    <numFmt numFmtId="164" formatCode="#,##0.0"/>
    <numFmt numFmtId="165" formatCode="_-* #,##0.00_-;\-* #,##0.00_-;_-* &quot;-&quot;??_-;_-@_-"/>
    <numFmt numFmtId="166" formatCode="_-* #,##0_-;\-* #,##0_-;_-* &quot;-&quot;??_-;_-@_-"/>
    <numFmt numFmtId="167" formatCode="_-* #,##0.0_-;\-* #,##0.0_-;_-* &quot;-&quot;??_-;_-@_-"/>
    <numFmt numFmtId="168" formatCode="_-* #,##0.000_-;\-* #,##0.000_-;_-* &quot;-&quot;??_-;_-@_-"/>
    <numFmt numFmtId="169" formatCode="_-* #,##0.000_-;\-* #,##0.000_-;_-* &quot;-&quot;???_-;_-@_-"/>
    <numFmt numFmtId="170" formatCode="#,##0_ ;[Red]\-#,##0\ "/>
    <numFmt numFmtId="171" formatCode="#,##0_ ;\-#,##0\ "/>
  </numFmts>
  <fonts count="37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0"/>
      <color theme="1"/>
      <name val="Calibri"/>
      <scheme val="minor"/>
    </font>
    <font>
      <sz val="11"/>
      <color theme="1"/>
      <name val="Calibri"/>
      <scheme val="minor"/>
    </font>
    <font>
      <sz val="11"/>
      <color rgb="FF000000"/>
      <name val="Calibri"/>
      <scheme val="minor"/>
    </font>
    <font>
      <b/>
      <sz val="11"/>
      <color theme="1"/>
      <name val="Calibri"/>
      <scheme val="minor"/>
    </font>
    <font>
      <b/>
      <sz val="10"/>
      <color theme="1"/>
      <name val="Calibri"/>
      <scheme val="minor"/>
    </font>
    <font>
      <b/>
      <sz val="11"/>
      <color rgb="FF000000"/>
      <name val="Calibri"/>
      <scheme val="minor"/>
    </font>
    <font>
      <sz val="11"/>
      <color rgb="FFFF0000"/>
      <name val="Calibri"/>
      <scheme val="minor"/>
    </font>
    <font>
      <sz val="10"/>
      <color rgb="FFFF0000"/>
      <name val="Calibri"/>
      <scheme val="minor"/>
    </font>
    <font>
      <b/>
      <sz val="16"/>
      <color theme="1"/>
      <name val="Calibri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indexed="81"/>
      <name val="Calibri"/>
      <family val="2"/>
    </font>
    <font>
      <sz val="9"/>
      <color indexed="81"/>
      <name val="Calibri"/>
      <family val="2"/>
    </font>
    <font>
      <b/>
      <u/>
      <sz val="10"/>
      <name val="Arial"/>
      <family val="2"/>
    </font>
    <font>
      <b/>
      <sz val="11"/>
      <color rgb="FF002060"/>
      <name val="Calibri"/>
      <family val="2"/>
      <scheme val="minor"/>
    </font>
    <font>
      <sz val="11"/>
      <color rgb="FF1F497D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1"/>
      <color theme="5"/>
      <name val="Calibri"/>
      <scheme val="minor"/>
    </font>
    <font>
      <b/>
      <sz val="10"/>
      <color theme="5"/>
      <name val="Arial"/>
    </font>
    <font>
      <sz val="10"/>
      <color theme="5"/>
      <name val="Arial"/>
    </font>
    <font>
      <sz val="11"/>
      <name val="Calibri"/>
      <family val="2"/>
      <scheme val="minor"/>
    </font>
    <font>
      <sz val="12"/>
      <name val="Calibri"/>
      <scheme val="minor"/>
    </font>
    <font>
      <b/>
      <sz val="14"/>
      <color theme="1"/>
      <name val="Calibri"/>
      <scheme val="minor"/>
    </font>
    <font>
      <sz val="9"/>
      <color theme="1"/>
      <name val="Calibri"/>
      <scheme val="minor"/>
    </font>
    <font>
      <sz val="12"/>
      <color rgb="FF000000"/>
      <name val="Calibri"/>
      <family val="2"/>
      <scheme val="minor"/>
    </font>
    <font>
      <sz val="12"/>
      <color theme="5"/>
      <name val="Calibri"/>
      <scheme val="minor"/>
    </font>
    <font>
      <sz val="11"/>
      <color theme="0"/>
      <name val="Calibri"/>
      <scheme val="minor"/>
    </font>
    <font>
      <b/>
      <sz val="18"/>
      <color theme="1"/>
      <name val="Calibri"/>
      <scheme val="minor"/>
    </font>
    <font>
      <sz val="18"/>
      <color theme="0"/>
      <name val="Calibri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6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3" tint="0.59999389629810485"/>
        <bgColor indexed="64"/>
      </patternFill>
    </fill>
  </fills>
  <borders count="5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/>
      <right style="medium">
        <color auto="1"/>
      </right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double">
        <color auto="1"/>
      </bottom>
      <diagonal/>
    </border>
    <border>
      <left style="medium">
        <color auto="1"/>
      </left>
      <right style="medium">
        <color auto="1"/>
      </right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medium">
        <color auto="1"/>
      </right>
      <top/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374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299">
    <xf numFmtId="0" fontId="0" fillId="0" borderId="0" xfId="0"/>
    <xf numFmtId="3" fontId="0" fillId="0" borderId="0" xfId="0" applyNumberFormat="1"/>
    <xf numFmtId="164" fontId="0" fillId="0" borderId="0" xfId="0" applyNumberFormat="1"/>
    <xf numFmtId="4" fontId="0" fillId="0" borderId="0" xfId="0" applyNumberFormat="1"/>
    <xf numFmtId="3" fontId="7" fillId="0" borderId="0" xfId="0" applyNumberFormat="1" applyFont="1"/>
    <xf numFmtId="164" fontId="7" fillId="0" borderId="0" xfId="0" applyNumberFormat="1" applyFont="1"/>
    <xf numFmtId="3" fontId="7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  <xf numFmtId="164" fontId="8" fillId="0" borderId="0" xfId="0" applyNumberFormat="1" applyFont="1" applyAlignment="1">
      <alignment horizontal="center"/>
    </xf>
    <xf numFmtId="3" fontId="6" fillId="0" borderId="0" xfId="0" applyNumberFormat="1" applyFont="1" applyAlignment="1">
      <alignment horizontal="center"/>
    </xf>
    <xf numFmtId="164" fontId="6" fillId="0" borderId="0" xfId="0" applyNumberFormat="1" applyFont="1" applyAlignment="1">
      <alignment horizontal="center"/>
    </xf>
    <xf numFmtId="3" fontId="9" fillId="0" borderId="0" xfId="0" applyNumberFormat="1" applyFont="1"/>
    <xf numFmtId="4" fontId="7" fillId="0" borderId="0" xfId="0" applyNumberFormat="1" applyFont="1" applyAlignment="1">
      <alignment horizontal="center"/>
    </xf>
    <xf numFmtId="164" fontId="9" fillId="0" borderId="0" xfId="0" applyNumberFormat="1" applyFont="1"/>
    <xf numFmtId="164" fontId="10" fillId="0" borderId="0" xfId="0" applyNumberFormat="1" applyFont="1" applyAlignment="1">
      <alignment horizontal="center"/>
    </xf>
    <xf numFmtId="164" fontId="9" fillId="0" borderId="0" xfId="0" applyNumberFormat="1" applyFont="1" applyAlignment="1">
      <alignment horizontal="center"/>
    </xf>
    <xf numFmtId="3" fontId="9" fillId="0" borderId="0" xfId="0" applyNumberFormat="1" applyFont="1" applyAlignment="1">
      <alignment horizontal="center"/>
    </xf>
    <xf numFmtId="164" fontId="3" fillId="0" borderId="0" xfId="0" applyNumberFormat="1" applyFont="1"/>
    <xf numFmtId="4" fontId="7" fillId="0" borderId="0" xfId="0" applyNumberFormat="1" applyFont="1"/>
    <xf numFmtId="4" fontId="6" fillId="0" borderId="0" xfId="0" applyNumberFormat="1" applyFont="1" applyAlignment="1">
      <alignment horizontal="center"/>
    </xf>
    <xf numFmtId="4" fontId="0" fillId="0" borderId="0" xfId="0" applyNumberFormat="1" applyFont="1"/>
    <xf numFmtId="3" fontId="11" fillId="0" borderId="0" xfId="0" applyNumberFormat="1" applyFont="1" applyAlignment="1">
      <alignment horizontal="center"/>
    </xf>
    <xf numFmtId="3" fontId="12" fillId="0" borderId="0" xfId="0" applyNumberFormat="1" applyFont="1"/>
    <xf numFmtId="3" fontId="13" fillId="0" borderId="0" xfId="0" applyNumberFormat="1" applyFont="1" applyAlignment="1">
      <alignment horizontal="center"/>
    </xf>
    <xf numFmtId="3" fontId="12" fillId="0" borderId="0" xfId="0" applyNumberFormat="1" applyFont="1" applyAlignment="1">
      <alignment horizontal="center"/>
    </xf>
    <xf numFmtId="3" fontId="2" fillId="0" borderId="0" xfId="0" applyNumberFormat="1" applyFont="1"/>
    <xf numFmtId="4" fontId="12" fillId="0" borderId="0" xfId="0" applyNumberFormat="1" applyFont="1" applyAlignment="1">
      <alignment horizontal="center"/>
    </xf>
    <xf numFmtId="0" fontId="14" fillId="0" borderId="0" xfId="0" applyFont="1"/>
    <xf numFmtId="0" fontId="15" fillId="0" borderId="0" xfId="0" applyFont="1" applyBorder="1"/>
    <xf numFmtId="0" fontId="7" fillId="0" borderId="0" xfId="0" applyFont="1"/>
    <xf numFmtId="0" fontId="15" fillId="0" borderId="0" xfId="0" applyFont="1"/>
    <xf numFmtId="0" fontId="15" fillId="0" borderId="14" xfId="0" applyFont="1" applyFill="1" applyBorder="1"/>
    <xf numFmtId="0" fontId="16" fillId="0" borderId="15" xfId="0" applyFont="1" applyFill="1" applyBorder="1"/>
    <xf numFmtId="166" fontId="16" fillId="0" borderId="15" xfId="29" applyNumberFormat="1" applyFont="1" applyFill="1" applyBorder="1" applyAlignment="1">
      <alignment horizontal="center"/>
    </xf>
    <xf numFmtId="166" fontId="16" fillId="0" borderId="16" xfId="29" applyNumberFormat="1" applyFont="1" applyFill="1" applyBorder="1"/>
    <xf numFmtId="9" fontId="17" fillId="0" borderId="0" xfId="31" applyNumberFormat="1" applyFont="1"/>
    <xf numFmtId="0" fontId="17" fillId="0" borderId="0" xfId="0" applyFont="1"/>
    <xf numFmtId="0" fontId="15" fillId="2" borderId="17" xfId="0" applyFont="1" applyFill="1" applyBorder="1"/>
    <xf numFmtId="41" fontId="0" fillId="0" borderId="0" xfId="30" applyFont="1"/>
    <xf numFmtId="0" fontId="0" fillId="0" borderId="18" xfId="0" applyBorder="1"/>
    <xf numFmtId="9" fontId="0" fillId="0" borderId="19" xfId="31" applyFont="1" applyBorder="1"/>
    <xf numFmtId="0" fontId="0" fillId="2" borderId="18" xfId="0" applyFill="1" applyBorder="1"/>
    <xf numFmtId="165" fontId="17" fillId="0" borderId="0" xfId="0" applyNumberFormat="1" applyFont="1"/>
    <xf numFmtId="165" fontId="0" fillId="0" borderId="0" xfId="0" applyNumberFormat="1"/>
    <xf numFmtId="0" fontId="15" fillId="2" borderId="20" xfId="0" applyFont="1" applyFill="1" applyBorder="1"/>
    <xf numFmtId="0" fontId="0" fillId="2" borderId="21" xfId="0" applyFill="1" applyBorder="1"/>
    <xf numFmtId="9" fontId="0" fillId="2" borderId="22" xfId="31" applyFont="1" applyFill="1" applyBorder="1"/>
    <xf numFmtId="0" fontId="15" fillId="2" borderId="23" xfId="0" applyFont="1" applyFill="1" applyBorder="1"/>
    <xf numFmtId="0" fontId="0" fillId="2" borderId="24" xfId="0" applyFill="1" applyBorder="1"/>
    <xf numFmtId="165" fontId="0" fillId="2" borderId="24" xfId="29" applyNumberFormat="1" applyFont="1" applyFill="1" applyBorder="1" applyAlignment="1">
      <alignment horizontal="center"/>
    </xf>
    <xf numFmtId="0" fontId="0" fillId="2" borderId="25" xfId="0" applyFill="1" applyBorder="1"/>
    <xf numFmtId="0" fontId="0" fillId="0" borderId="0" xfId="0" applyBorder="1"/>
    <xf numFmtId="168" fontId="0" fillId="0" borderId="0" xfId="29" applyNumberFormat="1" applyFont="1" applyBorder="1" applyAlignment="1">
      <alignment horizontal="center"/>
    </xf>
    <xf numFmtId="169" fontId="0" fillId="0" borderId="0" xfId="0" applyNumberFormat="1" applyBorder="1"/>
    <xf numFmtId="169" fontId="0" fillId="0" borderId="0" xfId="0" applyNumberFormat="1"/>
    <xf numFmtId="0" fontId="21" fillId="4" borderId="14" xfId="0" applyFont="1" applyFill="1" applyBorder="1"/>
    <xf numFmtId="0" fontId="0" fillId="0" borderId="15" xfId="0" applyBorder="1"/>
    <xf numFmtId="165" fontId="0" fillId="0" borderId="15" xfId="29" applyNumberFormat="1" applyFont="1" applyBorder="1" applyAlignment="1">
      <alignment horizontal="center"/>
    </xf>
    <xf numFmtId="0" fontId="0" fillId="0" borderId="16" xfId="0" applyBorder="1"/>
    <xf numFmtId="0" fontId="16" fillId="0" borderId="17" xfId="0" applyFont="1" applyFill="1" applyBorder="1"/>
    <xf numFmtId="0" fontId="0" fillId="0" borderId="18" xfId="0" applyFill="1" applyBorder="1"/>
    <xf numFmtId="165" fontId="0" fillId="0" borderId="18" xfId="29" applyNumberFormat="1" applyFont="1" applyFill="1" applyBorder="1" applyAlignment="1">
      <alignment horizontal="center"/>
    </xf>
    <xf numFmtId="9" fontId="0" fillId="0" borderId="19" xfId="31" applyFont="1" applyFill="1" applyBorder="1"/>
    <xf numFmtId="168" fontId="0" fillId="0" borderId="0" xfId="0" applyNumberFormat="1"/>
    <xf numFmtId="168" fontId="12" fillId="0" borderId="18" xfId="29" applyNumberFormat="1" applyFont="1" applyFill="1" applyBorder="1" applyAlignment="1">
      <alignment horizontal="center"/>
    </xf>
    <xf numFmtId="0" fontId="15" fillId="5" borderId="23" xfId="0" applyFont="1" applyFill="1" applyBorder="1"/>
    <xf numFmtId="0" fontId="9" fillId="5" borderId="24" xfId="0" applyFont="1" applyFill="1" applyBorder="1"/>
    <xf numFmtId="166" fontId="0" fillId="0" borderId="0" xfId="0" applyNumberFormat="1"/>
    <xf numFmtId="165" fontId="0" fillId="0" borderId="0" xfId="29" applyNumberFormat="1" applyFont="1" applyBorder="1" applyAlignment="1">
      <alignment horizontal="center"/>
    </xf>
    <xf numFmtId="9" fontId="0" fillId="0" borderId="0" xfId="31" applyFont="1" applyBorder="1"/>
    <xf numFmtId="168" fontId="0" fillId="0" borderId="15" xfId="29" applyNumberFormat="1" applyFont="1" applyBorder="1" applyAlignment="1">
      <alignment horizontal="center"/>
    </xf>
    <xf numFmtId="9" fontId="0" fillId="0" borderId="16" xfId="31" applyFont="1" applyBorder="1"/>
    <xf numFmtId="0" fontId="16" fillId="0" borderId="17" xfId="0" applyFont="1" applyBorder="1"/>
    <xf numFmtId="165" fontId="0" fillId="0" borderId="18" xfId="29" applyNumberFormat="1" applyFont="1" applyBorder="1" applyAlignment="1">
      <alignment horizontal="center"/>
    </xf>
    <xf numFmtId="168" fontId="0" fillId="0" borderId="18" xfId="29" applyNumberFormat="1" applyFont="1" applyBorder="1" applyAlignment="1">
      <alignment horizontal="center"/>
    </xf>
    <xf numFmtId="0" fontId="15" fillId="0" borderId="0" xfId="0" applyFont="1" applyFill="1" applyBorder="1"/>
    <xf numFmtId="0" fontId="9" fillId="0" borderId="0" xfId="0" applyFont="1" applyFill="1" applyBorder="1"/>
    <xf numFmtId="165" fontId="9" fillId="0" borderId="0" xfId="29" applyNumberFormat="1" applyFont="1" applyFill="1" applyBorder="1" applyAlignment="1">
      <alignment horizontal="center"/>
    </xf>
    <xf numFmtId="166" fontId="9" fillId="0" borderId="0" xfId="29" applyNumberFormat="1" applyFont="1" applyFill="1" applyBorder="1" applyAlignment="1">
      <alignment horizontal="center"/>
    </xf>
    <xf numFmtId="166" fontId="9" fillId="0" borderId="0" xfId="29" applyNumberFormat="1" applyFont="1" applyFill="1" applyBorder="1"/>
    <xf numFmtId="0" fontId="9" fillId="0" borderId="15" xfId="0" applyFont="1" applyFill="1" applyBorder="1"/>
    <xf numFmtId="165" fontId="9" fillId="0" borderId="15" xfId="29" applyNumberFormat="1" applyFont="1" applyFill="1" applyBorder="1" applyAlignment="1">
      <alignment horizontal="center"/>
    </xf>
    <xf numFmtId="166" fontId="9" fillId="0" borderId="15" xfId="29" applyNumberFormat="1" applyFont="1" applyFill="1" applyBorder="1" applyAlignment="1">
      <alignment horizontal="center"/>
    </xf>
    <xf numFmtId="166" fontId="9" fillId="0" borderId="16" xfId="29" applyNumberFormat="1" applyFont="1" applyFill="1" applyBorder="1"/>
    <xf numFmtId="0" fontId="0" fillId="0" borderId="18" xfId="0" applyFont="1" applyFill="1" applyBorder="1"/>
    <xf numFmtId="165" fontId="7" fillId="0" borderId="18" xfId="29" applyNumberFormat="1" applyFont="1" applyFill="1" applyBorder="1" applyAlignment="1">
      <alignment horizontal="center"/>
    </xf>
    <xf numFmtId="165" fontId="12" fillId="0" borderId="19" xfId="29" applyNumberFormat="1" applyFont="1" applyFill="1" applyBorder="1"/>
    <xf numFmtId="0" fontId="15" fillId="2" borderId="26" xfId="0" applyFont="1" applyFill="1" applyBorder="1"/>
    <xf numFmtId="0" fontId="9" fillId="2" borderId="27" xfId="0" applyFont="1" applyFill="1" applyBorder="1"/>
    <xf numFmtId="10" fontId="0" fillId="0" borderId="0" xfId="31" applyNumberFormat="1" applyFont="1"/>
    <xf numFmtId="166" fontId="22" fillId="0" borderId="0" xfId="29" applyNumberFormat="1" applyFont="1" applyFill="1" applyBorder="1"/>
    <xf numFmtId="9" fontId="0" fillId="0" borderId="0" xfId="31" applyFont="1"/>
    <xf numFmtId="0" fontId="23" fillId="0" borderId="0" xfId="0" applyFont="1"/>
    <xf numFmtId="0" fontId="21" fillId="0" borderId="0" xfId="0" applyFont="1" applyFill="1" applyBorder="1"/>
    <xf numFmtId="2" fontId="17" fillId="7" borderId="0" xfId="0" applyNumberFormat="1" applyFont="1" applyFill="1"/>
    <xf numFmtId="0" fontId="6" fillId="0" borderId="10" xfId="0" applyFont="1" applyBorder="1" applyAlignment="1">
      <alignment horizontal="center"/>
    </xf>
    <xf numFmtId="0" fontId="24" fillId="0" borderId="11" xfId="0" applyFont="1" applyBorder="1"/>
    <xf numFmtId="17" fontId="0" fillId="0" borderId="0" xfId="0" applyNumberFormat="1"/>
    <xf numFmtId="0" fontId="6" fillId="0" borderId="6" xfId="0" applyFont="1" applyBorder="1" applyAlignment="1">
      <alignment horizontal="center"/>
    </xf>
    <xf numFmtId="0" fontId="24" fillId="0" borderId="5" xfId="0" applyFont="1" applyBorder="1"/>
    <xf numFmtId="9" fontId="17" fillId="7" borderId="0" xfId="31" applyFont="1" applyFill="1"/>
    <xf numFmtId="0" fontId="0" fillId="0" borderId="1" xfId="0" applyBorder="1"/>
    <xf numFmtId="0" fontId="0" fillId="2" borderId="3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0" borderId="28" xfId="0" applyBorder="1" applyAlignment="1">
      <alignment horizontal="right"/>
    </xf>
    <xf numFmtId="9" fontId="0" fillId="2" borderId="29" xfId="0" applyNumberFormat="1" applyFill="1" applyBorder="1" applyAlignment="1">
      <alignment horizontal="center"/>
    </xf>
    <xf numFmtId="9" fontId="0" fillId="2" borderId="30" xfId="0" applyNumberFormat="1" applyFill="1" applyBorder="1" applyAlignment="1">
      <alignment horizontal="center"/>
    </xf>
    <xf numFmtId="9" fontId="0" fillId="2" borderId="28" xfId="0" applyNumberFormat="1" applyFill="1" applyBorder="1" applyAlignment="1">
      <alignment horizontal="center"/>
    </xf>
    <xf numFmtId="9" fontId="0" fillId="5" borderId="29" xfId="0" applyNumberFormat="1" applyFill="1" applyBorder="1" applyAlignment="1">
      <alignment horizontal="center"/>
    </xf>
    <xf numFmtId="0" fontId="0" fillId="0" borderId="31" xfId="0" applyBorder="1"/>
    <xf numFmtId="2" fontId="0" fillId="0" borderId="32" xfId="0" applyNumberFormat="1" applyBorder="1" applyAlignment="1">
      <alignment horizontal="center"/>
    </xf>
    <xf numFmtId="2" fontId="0" fillId="0" borderId="33" xfId="0" applyNumberFormat="1" applyBorder="1" applyAlignment="1">
      <alignment horizontal="center"/>
    </xf>
    <xf numFmtId="2" fontId="0" fillId="5" borderId="34" xfId="0" applyNumberFormat="1" applyFill="1" applyBorder="1" applyAlignment="1">
      <alignment horizontal="center"/>
    </xf>
    <xf numFmtId="1" fontId="0" fillId="0" borderId="32" xfId="0" applyNumberFormat="1" applyBorder="1" applyAlignment="1">
      <alignment horizontal="center"/>
    </xf>
    <xf numFmtId="1" fontId="0" fillId="0" borderId="33" xfId="0" applyNumberFormat="1" applyBorder="1" applyAlignment="1">
      <alignment horizontal="center"/>
    </xf>
    <xf numFmtId="1" fontId="0" fillId="5" borderId="34" xfId="0" applyNumberFormat="1" applyFill="1" applyBorder="1" applyAlignment="1">
      <alignment horizontal="center"/>
    </xf>
    <xf numFmtId="1" fontId="17" fillId="0" borderId="32" xfId="0" applyNumberFormat="1" applyFont="1" applyBorder="1" applyAlignment="1">
      <alignment horizontal="center"/>
    </xf>
    <xf numFmtId="1" fontId="17" fillId="0" borderId="33" xfId="0" applyNumberFormat="1" applyFont="1" applyBorder="1" applyAlignment="1">
      <alignment horizontal="center"/>
    </xf>
    <xf numFmtId="1" fontId="22" fillId="5" borderId="34" xfId="0" applyNumberFormat="1" applyFont="1" applyFill="1" applyBorder="1" applyAlignment="1">
      <alignment horizontal="center"/>
    </xf>
    <xf numFmtId="0" fontId="0" fillId="0" borderId="35" xfId="0" applyBorder="1"/>
    <xf numFmtId="1" fontId="17" fillId="0" borderId="36" xfId="0" applyNumberFormat="1" applyFont="1" applyBorder="1" applyAlignment="1">
      <alignment horizontal="center"/>
    </xf>
    <xf numFmtId="1" fontId="17" fillId="0" borderId="37" xfId="0" applyNumberFormat="1" applyFont="1" applyBorder="1" applyAlignment="1">
      <alignment horizontal="center"/>
    </xf>
    <xf numFmtId="1" fontId="22" fillId="5" borderId="38" xfId="0" applyNumberFormat="1" applyFont="1" applyFill="1" applyBorder="1" applyAlignment="1">
      <alignment horizontal="center"/>
    </xf>
    <xf numFmtId="0" fontId="0" fillId="0" borderId="4" xfId="0" applyBorder="1"/>
    <xf numFmtId="0" fontId="9" fillId="3" borderId="6" xfId="0" applyFont="1" applyFill="1" applyBorder="1" applyAlignment="1">
      <alignment horizontal="center"/>
    </xf>
    <xf numFmtId="0" fontId="9" fillId="3" borderId="39" xfId="0" applyFont="1" applyFill="1" applyBorder="1" applyAlignment="1">
      <alignment horizontal="center"/>
    </xf>
    <xf numFmtId="43" fontId="9" fillId="5" borderId="5" xfId="29" applyFont="1" applyFill="1" applyBorder="1" applyAlignment="1">
      <alignment horizontal="center"/>
    </xf>
    <xf numFmtId="166" fontId="0" fillId="8" borderId="18" xfId="29" applyNumberFormat="1" applyFont="1" applyFill="1" applyBorder="1" applyAlignment="1">
      <alignment horizontal="center"/>
    </xf>
    <xf numFmtId="167" fontId="9" fillId="8" borderId="18" xfId="29" applyNumberFormat="1" applyFont="1" applyFill="1" applyBorder="1" applyAlignment="1">
      <alignment horizontal="center"/>
    </xf>
    <xf numFmtId="0" fontId="15" fillId="8" borderId="17" xfId="0" applyFont="1" applyFill="1" applyBorder="1"/>
    <xf numFmtId="0" fontId="16" fillId="8" borderId="18" xfId="0" applyFont="1" applyFill="1" applyBorder="1"/>
    <xf numFmtId="166" fontId="16" fillId="8" borderId="18" xfId="29" applyNumberFormat="1" applyFont="1" applyFill="1" applyBorder="1" applyAlignment="1">
      <alignment horizontal="center"/>
    </xf>
    <xf numFmtId="166" fontId="16" fillId="8" borderId="19" xfId="29" applyNumberFormat="1" applyFont="1" applyFill="1" applyBorder="1"/>
    <xf numFmtId="0" fontId="0" fillId="8" borderId="18" xfId="0" applyFill="1" applyBorder="1"/>
    <xf numFmtId="166" fontId="0" fillId="8" borderId="19" xfId="0" applyNumberFormat="1" applyFill="1" applyBorder="1"/>
    <xf numFmtId="167" fontId="0" fillId="8" borderId="18" xfId="29" applyNumberFormat="1" applyFont="1" applyFill="1" applyBorder="1" applyAlignment="1">
      <alignment horizontal="center"/>
    </xf>
    <xf numFmtId="9" fontId="0" fillId="8" borderId="19" xfId="31" applyFont="1" applyFill="1" applyBorder="1"/>
    <xf numFmtId="165" fontId="0" fillId="8" borderId="18" xfId="29" applyNumberFormat="1" applyFont="1" applyFill="1" applyBorder="1" applyAlignment="1">
      <alignment horizontal="center"/>
    </xf>
    <xf numFmtId="166" fontId="0" fillId="2" borderId="18" xfId="29" applyNumberFormat="1" applyFont="1" applyFill="1" applyBorder="1" applyAlignment="1">
      <alignment horizontal="center"/>
    </xf>
    <xf numFmtId="166" fontId="0" fillId="2" borderId="19" xfId="0" applyNumberFormat="1" applyFill="1" applyBorder="1"/>
    <xf numFmtId="165" fontId="0" fillId="2" borderId="21" xfId="29" applyNumberFormat="1" applyFont="1" applyFill="1" applyBorder="1" applyAlignment="1">
      <alignment horizontal="center"/>
    </xf>
    <xf numFmtId="0" fontId="15" fillId="9" borderId="23" xfId="0" applyFont="1" applyFill="1" applyBorder="1"/>
    <xf numFmtId="0" fontId="9" fillId="9" borderId="24" xfId="0" applyFont="1" applyFill="1" applyBorder="1"/>
    <xf numFmtId="165" fontId="9" fillId="9" borderId="21" xfId="29" applyNumberFormat="1" applyFont="1" applyFill="1" applyBorder="1" applyAlignment="1">
      <alignment horizontal="center"/>
    </xf>
    <xf numFmtId="166" fontId="9" fillId="9" borderId="21" xfId="29" applyNumberFormat="1" applyFont="1" applyFill="1" applyBorder="1" applyAlignment="1">
      <alignment horizontal="center"/>
    </xf>
    <xf numFmtId="166" fontId="22" fillId="9" borderId="22" xfId="29" applyNumberFormat="1" applyFont="1" applyFill="1" applyBorder="1"/>
    <xf numFmtId="165" fontId="9" fillId="5" borderId="18" xfId="29" applyNumberFormat="1" applyFont="1" applyFill="1" applyBorder="1" applyAlignment="1">
      <alignment horizontal="center"/>
    </xf>
    <xf numFmtId="166" fontId="9" fillId="5" borderId="18" xfId="29" applyNumberFormat="1" applyFont="1" applyFill="1" applyBorder="1" applyAlignment="1">
      <alignment horizontal="center"/>
    </xf>
    <xf numFmtId="166" fontId="22" fillId="5" borderId="18" xfId="29" applyNumberFormat="1" applyFont="1" applyFill="1" applyBorder="1"/>
    <xf numFmtId="166" fontId="17" fillId="9" borderId="22" xfId="29" applyNumberFormat="1" applyFont="1" applyFill="1" applyBorder="1"/>
    <xf numFmtId="166" fontId="17" fillId="5" borderId="18" xfId="29" applyNumberFormat="1" applyFont="1" applyFill="1" applyBorder="1"/>
    <xf numFmtId="166" fontId="9" fillId="5" borderId="21" xfId="29" applyNumberFormat="1" applyFont="1" applyFill="1" applyBorder="1" applyAlignment="1">
      <alignment horizontal="center"/>
    </xf>
    <xf numFmtId="166" fontId="17" fillId="5" borderId="22" xfId="29" applyNumberFormat="1" applyFont="1" applyFill="1" applyBorder="1"/>
    <xf numFmtId="0" fontId="15" fillId="6" borderId="26" xfId="0" applyFont="1" applyFill="1" applyBorder="1"/>
    <xf numFmtId="0" fontId="18" fillId="6" borderId="27" xfId="0" applyFont="1" applyFill="1" applyBorder="1"/>
    <xf numFmtId="166" fontId="17" fillId="6" borderId="41" xfId="29" applyNumberFormat="1" applyFont="1" applyFill="1" applyBorder="1"/>
    <xf numFmtId="166" fontId="17" fillId="6" borderId="18" xfId="29" applyNumberFormat="1" applyFont="1" applyFill="1" applyBorder="1"/>
    <xf numFmtId="166" fontId="25" fillId="6" borderId="40" xfId="29" applyNumberFormat="1" applyFont="1" applyFill="1" applyBorder="1"/>
    <xf numFmtId="166" fontId="25" fillId="6" borderId="40" xfId="29" applyNumberFormat="1" applyFont="1" applyFill="1" applyBorder="1" applyAlignment="1">
      <alignment horizontal="center"/>
    </xf>
    <xf numFmtId="166" fontId="25" fillId="6" borderId="18" xfId="29" applyNumberFormat="1" applyFont="1" applyFill="1" applyBorder="1"/>
    <xf numFmtId="166" fontId="9" fillId="2" borderId="40" xfId="29" applyNumberFormat="1" applyFont="1" applyFill="1" applyBorder="1" applyAlignment="1">
      <alignment horizontal="center"/>
    </xf>
    <xf numFmtId="166" fontId="9" fillId="2" borderId="18" xfId="29" applyNumberFormat="1" applyFont="1" applyFill="1" applyBorder="1" applyAlignment="1">
      <alignment horizontal="center"/>
    </xf>
    <xf numFmtId="166" fontId="22" fillId="2" borderId="18" xfId="29" applyNumberFormat="1" applyFont="1" applyFill="1" applyBorder="1"/>
    <xf numFmtId="166" fontId="22" fillId="10" borderId="41" xfId="29" applyNumberFormat="1" applyFont="1" applyFill="1" applyBorder="1"/>
    <xf numFmtId="0" fontId="0" fillId="10" borderId="0" xfId="0" applyFill="1"/>
    <xf numFmtId="0" fontId="16" fillId="5" borderId="0" xfId="0" applyFont="1" applyFill="1" applyBorder="1"/>
    <xf numFmtId="0" fontId="7" fillId="5" borderId="0" xfId="0" applyFont="1" applyFill="1" applyBorder="1" applyAlignment="1">
      <alignment horizontal="center"/>
    </xf>
    <xf numFmtId="0" fontId="16" fillId="6" borderId="0" xfId="0" applyFont="1" applyFill="1" applyBorder="1"/>
    <xf numFmtId="0" fontId="28" fillId="6" borderId="0" xfId="0" applyFont="1" applyFill="1" applyBorder="1" applyAlignment="1">
      <alignment horizontal="center"/>
    </xf>
    <xf numFmtId="0" fontId="7" fillId="0" borderId="12" xfId="0" applyFont="1" applyBorder="1"/>
    <xf numFmtId="3" fontId="7" fillId="0" borderId="12" xfId="0" applyNumberFormat="1" applyFont="1" applyBorder="1"/>
    <xf numFmtId="9" fontId="7" fillId="0" borderId="0" xfId="0" applyNumberFormat="1" applyFont="1"/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0" fontId="0" fillId="0" borderId="18" xfId="0" applyBorder="1" applyAlignment="1">
      <alignment vertical="top" wrapText="1"/>
    </xf>
    <xf numFmtId="0" fontId="0" fillId="0" borderId="42" xfId="0" applyBorder="1" applyAlignment="1">
      <alignment vertical="top"/>
    </xf>
    <xf numFmtId="0" fontId="0" fillId="0" borderId="43" xfId="0" applyBorder="1" applyAlignment="1">
      <alignment vertical="top" wrapText="1"/>
    </xf>
    <xf numFmtId="0" fontId="29" fillId="0" borderId="43" xfId="0" applyFont="1" applyBorder="1" applyAlignment="1">
      <alignment vertical="top" wrapText="1"/>
    </xf>
    <xf numFmtId="0" fontId="0" fillId="0" borderId="44" xfId="0" applyBorder="1" applyAlignment="1">
      <alignment vertical="top"/>
    </xf>
    <xf numFmtId="0" fontId="0" fillId="0" borderId="21" xfId="0" applyBorder="1" applyAlignment="1">
      <alignment vertical="top" wrapText="1"/>
    </xf>
    <xf numFmtId="0" fontId="0" fillId="0" borderId="45" xfId="0" applyBorder="1" applyAlignment="1">
      <alignment vertical="top" wrapText="1"/>
    </xf>
    <xf numFmtId="3" fontId="9" fillId="5" borderId="18" xfId="29" applyNumberFormat="1" applyFont="1" applyFill="1" applyBorder="1" applyAlignment="1">
      <alignment horizontal="center"/>
    </xf>
    <xf numFmtId="0" fontId="7" fillId="0" borderId="0" xfId="0" applyNumberFormat="1" applyFont="1"/>
    <xf numFmtId="0" fontId="15" fillId="5" borderId="0" xfId="0" applyFont="1" applyFill="1" applyBorder="1" applyAlignment="1">
      <alignment horizontal="left"/>
    </xf>
    <xf numFmtId="0" fontId="9" fillId="2" borderId="0" xfId="0" applyFont="1" applyFill="1" applyAlignment="1">
      <alignment horizontal="left"/>
    </xf>
    <xf numFmtId="0" fontId="15" fillId="5" borderId="0" xfId="0" applyFont="1" applyFill="1" applyBorder="1" applyAlignment="1">
      <alignment horizontal="center"/>
    </xf>
    <xf numFmtId="0" fontId="9" fillId="2" borderId="0" xfId="0" applyFont="1" applyFill="1" applyAlignment="1">
      <alignment horizontal="center"/>
    </xf>
    <xf numFmtId="3" fontId="9" fillId="2" borderId="0" xfId="0" applyNumberFormat="1" applyFont="1" applyFill="1" applyAlignment="1">
      <alignment horizontal="center"/>
    </xf>
    <xf numFmtId="0" fontId="30" fillId="0" borderId="0" xfId="0" applyFont="1"/>
    <xf numFmtId="166" fontId="17" fillId="0" borderId="0" xfId="0" applyNumberFormat="1" applyFont="1"/>
    <xf numFmtId="0" fontId="15" fillId="2" borderId="0" xfId="0" applyFont="1" applyFill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7" fillId="11" borderId="0" xfId="0" applyFont="1" applyFill="1"/>
    <xf numFmtId="9" fontId="7" fillId="11" borderId="0" xfId="0" applyNumberFormat="1" applyFont="1" applyFill="1"/>
    <xf numFmtId="41" fontId="7" fillId="0" borderId="0" xfId="30" applyFont="1"/>
    <xf numFmtId="0" fontId="15" fillId="2" borderId="0" xfId="0" applyFont="1" applyFill="1" applyBorder="1" applyAlignment="1">
      <alignment horizontal="left"/>
    </xf>
    <xf numFmtId="3" fontId="28" fillId="0" borderId="0" xfId="0" applyNumberFormat="1" applyFont="1" applyAlignment="1">
      <alignment horizontal="center"/>
    </xf>
    <xf numFmtId="4" fontId="28" fillId="0" borderId="0" xfId="0" applyNumberFormat="1" applyFont="1"/>
    <xf numFmtId="0" fontId="32" fillId="0" borderId="0" xfId="0" applyFont="1"/>
    <xf numFmtId="3" fontId="32" fillId="0" borderId="0" xfId="0" applyNumberFormat="1" applyFont="1"/>
    <xf numFmtId="0" fontId="15" fillId="6" borderId="47" xfId="0" applyFont="1" applyFill="1" applyBorder="1"/>
    <xf numFmtId="0" fontId="18" fillId="6" borderId="48" xfId="0" applyFont="1" applyFill="1" applyBorder="1"/>
    <xf numFmtId="166" fontId="25" fillId="6" borderId="49" xfId="29" applyNumberFormat="1" applyFont="1" applyFill="1" applyBorder="1"/>
    <xf numFmtId="166" fontId="17" fillId="6" borderId="49" xfId="29" applyNumberFormat="1" applyFont="1" applyFill="1" applyBorder="1"/>
    <xf numFmtId="166" fontId="25" fillId="6" borderId="27" xfId="29" applyNumberFormat="1" applyFont="1" applyFill="1" applyBorder="1"/>
    <xf numFmtId="166" fontId="25" fillId="6" borderId="27" xfId="29" applyNumberFormat="1" applyFont="1" applyFill="1" applyBorder="1" applyAlignment="1">
      <alignment horizontal="center"/>
    </xf>
    <xf numFmtId="166" fontId="17" fillId="6" borderId="50" xfId="29" applyNumberFormat="1" applyFont="1" applyFill="1" applyBorder="1"/>
    <xf numFmtId="3" fontId="7" fillId="2" borderId="0" xfId="0" applyNumberFormat="1" applyFont="1" applyFill="1" applyAlignment="1">
      <alignment horizontal="center"/>
    </xf>
    <xf numFmtId="2" fontId="18" fillId="7" borderId="0" xfId="0" applyNumberFormat="1" applyFont="1" applyFill="1"/>
    <xf numFmtId="166" fontId="22" fillId="10" borderId="46" xfId="29" applyNumberFormat="1" applyFont="1" applyFill="1" applyBorder="1"/>
    <xf numFmtId="2" fontId="25" fillId="7" borderId="0" xfId="0" applyNumberFormat="1" applyFont="1" applyFill="1"/>
    <xf numFmtId="0" fontId="33" fillId="0" borderId="0" xfId="0" applyFont="1"/>
    <xf numFmtId="9" fontId="25" fillId="7" borderId="0" xfId="31" applyFont="1" applyFill="1"/>
    <xf numFmtId="41" fontId="18" fillId="7" borderId="0" xfId="30" applyFont="1" applyFill="1"/>
    <xf numFmtId="0" fontId="7" fillId="0" borderId="10" xfId="0" applyFont="1" applyBorder="1"/>
    <xf numFmtId="0" fontId="0" fillId="0" borderId="55" xfId="0" applyBorder="1"/>
    <xf numFmtId="0" fontId="16" fillId="8" borderId="0" xfId="0" applyFont="1" applyFill="1" applyBorder="1"/>
    <xf numFmtId="0" fontId="7" fillId="8" borderId="0" xfId="0" applyFont="1" applyFill="1" applyBorder="1" applyAlignment="1">
      <alignment horizontal="center"/>
    </xf>
    <xf numFmtId="0" fontId="28" fillId="8" borderId="0" xfId="0" applyFont="1" applyFill="1" applyBorder="1" applyAlignment="1">
      <alignment horizontal="center"/>
    </xf>
    <xf numFmtId="3" fontId="7" fillId="8" borderId="0" xfId="0" applyNumberFormat="1" applyFont="1" applyFill="1"/>
    <xf numFmtId="3" fontId="7" fillId="8" borderId="0" xfId="0" applyNumberFormat="1" applyFont="1" applyFill="1" applyAlignment="1">
      <alignment horizontal="center"/>
    </xf>
    <xf numFmtId="0" fontId="7" fillId="0" borderId="51" xfId="0" applyFont="1" applyBorder="1"/>
    <xf numFmtId="0" fontId="7" fillId="0" borderId="0" xfId="0" applyFont="1" applyBorder="1"/>
    <xf numFmtId="0" fontId="7" fillId="0" borderId="53" xfId="0" applyFont="1" applyBorder="1"/>
    <xf numFmtId="0" fontId="7" fillId="0" borderId="21" xfId="0" applyFont="1" applyBorder="1"/>
    <xf numFmtId="0" fontId="7" fillId="0" borderId="56" xfId="0" applyFont="1" applyBorder="1"/>
    <xf numFmtId="0" fontId="31" fillId="0" borderId="56" xfId="0" applyFont="1" applyBorder="1" applyAlignment="1">
      <alignment horizontal="left"/>
    </xf>
    <xf numFmtId="0" fontId="7" fillId="0" borderId="49" xfId="0" applyFont="1" applyBorder="1"/>
    <xf numFmtId="3" fontId="7" fillId="0" borderId="44" xfId="0" applyNumberFormat="1" applyFont="1" applyBorder="1" applyAlignment="1">
      <alignment horizontal="center"/>
    </xf>
    <xf numFmtId="9" fontId="7" fillId="0" borderId="52" xfId="0" applyNumberFormat="1" applyFont="1" applyBorder="1" applyAlignment="1">
      <alignment horizontal="center"/>
    </xf>
    <xf numFmtId="0" fontId="7" fillId="0" borderId="52" xfId="0" applyNumberFormat="1" applyFont="1" applyBorder="1" applyAlignment="1">
      <alignment horizontal="center"/>
    </xf>
    <xf numFmtId="1" fontId="7" fillId="0" borderId="52" xfId="0" applyNumberFormat="1" applyFont="1" applyBorder="1" applyAlignment="1">
      <alignment horizontal="center"/>
    </xf>
    <xf numFmtId="1" fontId="7" fillId="8" borderId="52" xfId="0" applyNumberFormat="1" applyFont="1" applyFill="1" applyBorder="1" applyAlignment="1">
      <alignment horizontal="center"/>
    </xf>
    <xf numFmtId="41" fontId="7" fillId="8" borderId="52" xfId="30" applyFont="1" applyFill="1" applyBorder="1" applyAlignment="1">
      <alignment horizontal="center"/>
    </xf>
    <xf numFmtId="41" fontId="7" fillId="0" borderId="52" xfId="30" applyFont="1" applyBorder="1" applyAlignment="1">
      <alignment horizontal="center"/>
    </xf>
    <xf numFmtId="0" fontId="31" fillId="0" borderId="52" xfId="0" applyNumberFormat="1" applyFont="1" applyBorder="1" applyAlignment="1">
      <alignment horizontal="center"/>
    </xf>
    <xf numFmtId="1" fontId="31" fillId="0" borderId="52" xfId="0" applyNumberFormat="1" applyFont="1" applyBorder="1" applyAlignment="1">
      <alignment horizontal="center"/>
    </xf>
    <xf numFmtId="9" fontId="7" fillId="0" borderId="54" xfId="0" applyNumberFormat="1" applyFont="1" applyBorder="1" applyAlignment="1">
      <alignment horizontal="center"/>
    </xf>
    <xf numFmtId="170" fontId="0" fillId="0" borderId="11" xfId="0" applyNumberFormat="1" applyBorder="1"/>
    <xf numFmtId="9" fontId="7" fillId="0" borderId="0" xfId="31" applyFont="1"/>
    <xf numFmtId="3" fontId="7" fillId="0" borderId="18" xfId="0" applyNumberFormat="1" applyFont="1" applyBorder="1"/>
    <xf numFmtId="3" fontId="7" fillId="0" borderId="18" xfId="0" applyNumberFormat="1" applyFont="1" applyBorder="1" applyAlignment="1"/>
    <xf numFmtId="3" fontId="7" fillId="0" borderId="18" xfId="0" applyNumberFormat="1" applyFont="1" applyBorder="1" applyAlignment="1">
      <alignment horizontal="center"/>
    </xf>
    <xf numFmtId="9" fontId="7" fillId="0" borderId="18" xfId="31" applyFont="1" applyBorder="1" applyAlignment="1">
      <alignment horizontal="center"/>
    </xf>
    <xf numFmtId="0" fontId="34" fillId="8" borderId="0" xfId="0" applyFont="1" applyFill="1"/>
    <xf numFmtId="41" fontId="34" fillId="8" borderId="0" xfId="30" applyFont="1" applyFill="1"/>
    <xf numFmtId="41" fontId="34" fillId="8" borderId="0" xfId="0" applyNumberFormat="1" applyFont="1" applyFill="1"/>
    <xf numFmtId="3" fontId="7" fillId="3" borderId="0" xfId="0" applyNumberFormat="1" applyFont="1" applyFill="1" applyAlignment="1">
      <alignment horizontal="center"/>
    </xf>
    <xf numFmtId="0" fontId="28" fillId="0" borderId="0" xfId="0" applyFont="1"/>
    <xf numFmtId="41" fontId="28" fillId="8" borderId="0" xfId="30" applyFont="1" applyFill="1"/>
    <xf numFmtId="0" fontId="28" fillId="8" borderId="0" xfId="0" applyFont="1" applyFill="1"/>
    <xf numFmtId="0" fontId="3" fillId="13" borderId="18" xfId="0" applyFont="1" applyFill="1" applyBorder="1" applyAlignment="1">
      <alignment horizontal="center"/>
    </xf>
    <xf numFmtId="0" fontId="3" fillId="0" borderId="56" xfId="0" applyFont="1" applyBorder="1"/>
    <xf numFmtId="171" fontId="0" fillId="0" borderId="56" xfId="30" applyNumberFormat="1" applyFont="1" applyBorder="1" applyAlignment="1">
      <alignment horizontal="center" vertical="center"/>
    </xf>
    <xf numFmtId="0" fontId="3" fillId="0" borderId="49" xfId="0" applyFont="1" applyBorder="1"/>
    <xf numFmtId="9" fontId="0" fillId="0" borderId="49" xfId="31" applyFont="1" applyBorder="1" applyAlignment="1">
      <alignment horizontal="center"/>
    </xf>
    <xf numFmtId="0" fontId="3" fillId="0" borderId="49" xfId="0" applyFont="1" applyBorder="1" applyAlignment="1">
      <alignment horizontal="left" vertical="center" wrapText="1"/>
    </xf>
    <xf numFmtId="9" fontId="0" fillId="0" borderId="49" xfId="31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0" fillId="12" borderId="18" xfId="0" applyFill="1" applyBorder="1"/>
    <xf numFmtId="0" fontId="0" fillId="12" borderId="18" xfId="0" applyFill="1" applyBorder="1" applyAlignment="1">
      <alignment horizontal="center"/>
    </xf>
    <xf numFmtId="0" fontId="3" fillId="0" borderId="52" xfId="0" applyFont="1" applyBorder="1"/>
    <xf numFmtId="0" fontId="3" fillId="0" borderId="54" xfId="0" applyFont="1" applyBorder="1"/>
    <xf numFmtId="0" fontId="3" fillId="0" borderId="54" xfId="0" applyFont="1" applyBorder="1" applyAlignment="1">
      <alignment horizontal="left" vertical="center" wrapText="1"/>
    </xf>
    <xf numFmtId="171" fontId="0" fillId="0" borderId="46" xfId="30" applyNumberFormat="1" applyFont="1" applyBorder="1" applyAlignment="1">
      <alignment horizontal="center" vertical="center"/>
    </xf>
    <xf numFmtId="9" fontId="0" fillId="0" borderId="57" xfId="31" applyFont="1" applyBorder="1" applyAlignment="1">
      <alignment horizontal="center"/>
    </xf>
    <xf numFmtId="9" fontId="0" fillId="0" borderId="57" xfId="31" applyFont="1" applyBorder="1" applyAlignment="1">
      <alignment horizontal="center" vertical="center" wrapText="1"/>
    </xf>
    <xf numFmtId="0" fontId="3" fillId="0" borderId="52" xfId="0" applyFont="1" applyBorder="1" applyAlignment="1">
      <alignment horizontal="left" vertical="center" wrapText="1"/>
    </xf>
    <xf numFmtId="9" fontId="0" fillId="0" borderId="56" xfId="31" applyFont="1" applyBorder="1" applyAlignment="1">
      <alignment horizontal="center" vertical="center" wrapText="1"/>
    </xf>
    <xf numFmtId="9" fontId="0" fillId="0" borderId="46" xfId="31" applyFont="1" applyBorder="1" applyAlignment="1">
      <alignment horizontal="center" vertical="center" wrapText="1"/>
    </xf>
    <xf numFmtId="0" fontId="35" fillId="13" borderId="54" xfId="0" applyFont="1" applyFill="1" applyBorder="1" applyAlignment="1">
      <alignment horizontal="center"/>
    </xf>
    <xf numFmtId="0" fontId="35" fillId="13" borderId="49" xfId="0" applyFont="1" applyFill="1" applyBorder="1" applyAlignment="1">
      <alignment horizontal="center"/>
    </xf>
    <xf numFmtId="0" fontId="35" fillId="13" borderId="57" xfId="0" applyFont="1" applyFill="1" applyBorder="1" applyAlignment="1">
      <alignment horizontal="center"/>
    </xf>
    <xf numFmtId="3" fontId="7" fillId="0" borderId="43" xfId="0" applyNumberFormat="1" applyFont="1" applyBorder="1" applyAlignment="1">
      <alignment horizontal="center"/>
    </xf>
    <xf numFmtId="0" fontId="36" fillId="14" borderId="54" xfId="0" applyFont="1" applyFill="1" applyBorder="1" applyAlignment="1">
      <alignment horizontal="center"/>
    </xf>
    <xf numFmtId="0" fontId="36" fillId="14" borderId="49" xfId="0" applyFont="1" applyFill="1" applyBorder="1" applyAlignment="1">
      <alignment horizontal="center"/>
    </xf>
    <xf numFmtId="0" fontId="36" fillId="14" borderId="57" xfId="0" applyFont="1" applyFill="1" applyBorder="1" applyAlignment="1">
      <alignment horizontal="center"/>
    </xf>
    <xf numFmtId="3" fontId="0" fillId="0" borderId="18" xfId="0" applyNumberFormat="1" applyFont="1" applyBorder="1" applyAlignment="1">
      <alignment horizontal="left"/>
    </xf>
    <xf numFmtId="3" fontId="0" fillId="0" borderId="18" xfId="0" applyNumberFormat="1" applyFont="1" applyBorder="1" applyAlignment="1">
      <alignment horizontal="center"/>
    </xf>
    <xf numFmtId="3" fontId="0" fillId="0" borderId="43" xfId="0" applyNumberFormat="1" applyFont="1" applyBorder="1" applyAlignment="1">
      <alignment horizontal="center"/>
    </xf>
    <xf numFmtId="3" fontId="0" fillId="0" borderId="21" xfId="0" applyNumberFormat="1" applyFont="1" applyBorder="1" applyAlignment="1">
      <alignment horizontal="left"/>
    </xf>
    <xf numFmtId="3" fontId="0" fillId="0" borderId="21" xfId="0" applyNumberFormat="1" applyFont="1" applyBorder="1" applyAlignment="1">
      <alignment horizontal="center"/>
    </xf>
    <xf numFmtId="3" fontId="0" fillId="0" borderId="45" xfId="0" applyNumberFormat="1" applyFont="1" applyBorder="1" applyAlignment="1">
      <alignment horizontal="center"/>
    </xf>
    <xf numFmtId="3" fontId="7" fillId="0" borderId="42" xfId="0" applyNumberFormat="1" applyFont="1" applyBorder="1"/>
    <xf numFmtId="3" fontId="9" fillId="0" borderId="44" xfId="0" applyNumberFormat="1" applyFont="1" applyBorder="1"/>
    <xf numFmtId="9" fontId="9" fillId="0" borderId="21" xfId="31" applyFont="1" applyBorder="1" applyAlignment="1">
      <alignment horizontal="center"/>
    </xf>
    <xf numFmtId="9" fontId="9" fillId="0" borderId="45" xfId="31" applyFont="1" applyBorder="1" applyAlignment="1">
      <alignment horizontal="center"/>
    </xf>
    <xf numFmtId="0" fontId="0" fillId="0" borderId="0" xfId="0" applyAlignment="1">
      <alignment horizontal="center"/>
    </xf>
    <xf numFmtId="3" fontId="7" fillId="8" borderId="18" xfId="0" applyNumberFormat="1" applyFont="1" applyFill="1" applyBorder="1"/>
    <xf numFmtId="3" fontId="7" fillId="15" borderId="18" xfId="0" applyNumberFormat="1" applyFont="1" applyFill="1" applyBorder="1"/>
    <xf numFmtId="0" fontId="15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5" fillId="0" borderId="3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374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32" builtinId="8" hidden="1"/>
    <cellStyle name="Hipervínculo" xfId="34" builtinId="8" hidden="1"/>
    <cellStyle name="Hipervínculo" xfId="36" builtinId="8" hidden="1"/>
    <cellStyle name="Hipervínculo" xfId="38" builtinId="8" hidden="1"/>
    <cellStyle name="Hipervínculo" xfId="40" builtinId="8" hidden="1"/>
    <cellStyle name="Hipervínculo" xfId="42" builtinId="8" hidden="1"/>
    <cellStyle name="Hipervínculo" xfId="44" builtinId="8" hidden="1"/>
    <cellStyle name="Hipervínculo" xfId="46" builtinId="8" hidden="1"/>
    <cellStyle name="Hipervínculo" xfId="48" builtinId="8" hidden="1"/>
    <cellStyle name="Hipervínculo" xfId="50" builtinId="8" hidden="1"/>
    <cellStyle name="Hipervínculo" xfId="52" builtinId="8" hidden="1"/>
    <cellStyle name="Hipervínculo" xfId="54" builtinId="8" hidden="1"/>
    <cellStyle name="Hipervínculo" xfId="56" builtinId="8" hidden="1"/>
    <cellStyle name="Hipervínculo" xfId="58" builtinId="8" hidden="1"/>
    <cellStyle name="Hipervínculo" xfId="60" builtinId="8" hidden="1"/>
    <cellStyle name="Hipervínculo" xfId="62" builtinId="8" hidden="1"/>
    <cellStyle name="Hipervínculo" xfId="64" builtinId="8" hidden="1"/>
    <cellStyle name="Hipervínculo" xfId="66" builtinId="8" hidden="1"/>
    <cellStyle name="Hipervínculo" xfId="68" builtinId="8" hidden="1"/>
    <cellStyle name="Hipervínculo" xfId="70" builtinId="8" hidden="1"/>
    <cellStyle name="Hipervínculo" xfId="72" builtinId="8" hidden="1"/>
    <cellStyle name="Hipervínculo" xfId="74" builtinId="8" hidden="1"/>
    <cellStyle name="Hipervínculo" xfId="76" builtinId="8" hidden="1"/>
    <cellStyle name="Hipervínculo" xfId="78" builtinId="8" hidden="1"/>
    <cellStyle name="Hipervínculo" xfId="80" builtinId="8" hidden="1"/>
    <cellStyle name="Hipervínculo" xfId="82" builtinId="8" hidden="1"/>
    <cellStyle name="Hipervínculo" xfId="84" builtinId="8" hidden="1"/>
    <cellStyle name="Hipervínculo" xfId="86" builtinId="8" hidden="1"/>
    <cellStyle name="Hipervínculo" xfId="88" builtinId="8" hidden="1"/>
    <cellStyle name="Hipervínculo" xfId="90" builtinId="8" hidden="1"/>
    <cellStyle name="Hipervínculo" xfId="92" builtinId="8" hidden="1"/>
    <cellStyle name="Hipervínculo" xfId="94" builtinId="8" hidden="1"/>
    <cellStyle name="Hipervínculo" xfId="96" builtinId="8" hidden="1"/>
    <cellStyle name="Hipervínculo" xfId="98" builtinId="8" hidden="1"/>
    <cellStyle name="Hipervínculo" xfId="100" builtinId="8" hidden="1"/>
    <cellStyle name="Hipervínculo" xfId="102" builtinId="8" hidden="1"/>
    <cellStyle name="Hipervínculo" xfId="104" builtinId="8" hidden="1"/>
    <cellStyle name="Hipervínculo" xfId="106" builtinId="8" hidden="1"/>
    <cellStyle name="Hipervínculo" xfId="108" builtinId="8" hidden="1"/>
    <cellStyle name="Hipervínculo" xfId="110" builtinId="8" hidden="1"/>
    <cellStyle name="Hipervínculo" xfId="112" builtinId="8" hidden="1"/>
    <cellStyle name="Hipervínculo" xfId="114" builtinId="8" hidden="1"/>
    <cellStyle name="Hipervínculo" xfId="116" builtinId="8" hidden="1"/>
    <cellStyle name="Hipervínculo" xfId="118" builtinId="8" hidden="1"/>
    <cellStyle name="Hipervínculo" xfId="120" builtinId="8" hidden="1"/>
    <cellStyle name="Hipervínculo" xfId="122" builtinId="8" hidden="1"/>
    <cellStyle name="Hipervínculo" xfId="124" builtinId="8" hidden="1"/>
    <cellStyle name="Hipervínculo" xfId="126" builtinId="8" hidden="1"/>
    <cellStyle name="Hipervínculo" xfId="128" builtinId="8" hidden="1"/>
    <cellStyle name="Hipervínculo" xfId="130" builtinId="8" hidden="1"/>
    <cellStyle name="Hipervínculo" xfId="132" builtinId="8" hidden="1"/>
    <cellStyle name="Hipervínculo" xfId="134" builtinId="8" hidden="1"/>
    <cellStyle name="Hipervínculo" xfId="136" builtinId="8" hidden="1"/>
    <cellStyle name="Hipervínculo" xfId="138" builtinId="8" hidden="1"/>
    <cellStyle name="Hipervínculo" xfId="140" builtinId="8" hidden="1"/>
    <cellStyle name="Hipervínculo" xfId="142" builtinId="8" hidden="1"/>
    <cellStyle name="Hipervínculo" xfId="144" builtinId="8" hidden="1"/>
    <cellStyle name="Hipervínculo" xfId="146" builtinId="8" hidden="1"/>
    <cellStyle name="Hipervínculo" xfId="148" builtinId="8" hidden="1"/>
    <cellStyle name="Hipervínculo" xfId="150" builtinId="8" hidden="1"/>
    <cellStyle name="Hipervínculo" xfId="152" builtinId="8" hidden="1"/>
    <cellStyle name="Hipervínculo" xfId="154" builtinId="8" hidden="1"/>
    <cellStyle name="Hipervínculo" xfId="156" builtinId="8" hidden="1"/>
    <cellStyle name="Hipervínculo" xfId="158" builtinId="8" hidden="1"/>
    <cellStyle name="Hipervínculo" xfId="160" builtinId="8" hidden="1"/>
    <cellStyle name="Hipervínculo" xfId="162" builtinId="8" hidden="1"/>
    <cellStyle name="Hipervínculo" xfId="164" builtinId="8" hidden="1"/>
    <cellStyle name="Hipervínculo" xfId="166" builtinId="8" hidden="1"/>
    <cellStyle name="Hipervínculo" xfId="168" builtinId="8" hidden="1"/>
    <cellStyle name="Hipervínculo" xfId="170" builtinId="8" hidden="1"/>
    <cellStyle name="Hipervínculo" xfId="172" builtinId="8" hidden="1"/>
    <cellStyle name="Hipervínculo" xfId="174" builtinId="8" hidden="1"/>
    <cellStyle name="Hipervínculo" xfId="176" builtinId="8" hidden="1"/>
    <cellStyle name="Hipervínculo" xfId="178" builtinId="8" hidden="1"/>
    <cellStyle name="Hipervínculo" xfId="180" builtinId="8" hidden="1"/>
    <cellStyle name="Hipervínculo" xfId="182" builtinId="8" hidden="1"/>
    <cellStyle name="Hipervínculo" xfId="184" builtinId="8" hidden="1"/>
    <cellStyle name="Hipervínculo" xfId="186" builtinId="8" hidden="1"/>
    <cellStyle name="Hipervínculo" xfId="188" builtinId="8" hidden="1"/>
    <cellStyle name="Hipervínculo" xfId="190" builtinId="8" hidden="1"/>
    <cellStyle name="Hipervínculo" xfId="192" builtinId="8" hidden="1"/>
    <cellStyle name="Hipervínculo" xfId="194" builtinId="8" hidden="1"/>
    <cellStyle name="Hipervínculo" xfId="196" builtinId="8" hidden="1"/>
    <cellStyle name="Hipervínculo" xfId="198" builtinId="8" hidden="1"/>
    <cellStyle name="Hipervínculo" xfId="200" builtinId="8" hidden="1"/>
    <cellStyle name="Hipervínculo" xfId="202" builtinId="8" hidden="1"/>
    <cellStyle name="Hipervínculo" xfId="204" builtinId="8" hidden="1"/>
    <cellStyle name="Hipervínculo" xfId="206" builtinId="8" hidden="1"/>
    <cellStyle name="Hipervínculo" xfId="208" builtinId="8" hidden="1"/>
    <cellStyle name="Hipervínculo" xfId="210" builtinId="8" hidden="1"/>
    <cellStyle name="Hipervínculo" xfId="212" builtinId="8" hidden="1"/>
    <cellStyle name="Hipervínculo" xfId="214" builtinId="8" hidden="1"/>
    <cellStyle name="Hipervínculo" xfId="216" builtinId="8" hidden="1"/>
    <cellStyle name="Hipervínculo" xfId="218" builtinId="8" hidden="1"/>
    <cellStyle name="Hipervínculo" xfId="220" builtinId="8" hidden="1"/>
    <cellStyle name="Hipervínculo" xfId="222" builtinId="8" hidden="1"/>
    <cellStyle name="Hipervínculo" xfId="224" builtinId="8" hidden="1"/>
    <cellStyle name="Hipervínculo" xfId="226" builtinId="8" hidden="1"/>
    <cellStyle name="Hipervínculo" xfId="228" builtinId="8" hidden="1"/>
    <cellStyle name="Hipervínculo" xfId="230" builtinId="8" hidden="1"/>
    <cellStyle name="Hipervínculo" xfId="232" builtinId="8" hidden="1"/>
    <cellStyle name="Hipervínculo" xfId="234" builtinId="8" hidden="1"/>
    <cellStyle name="Hipervínculo" xfId="236" builtinId="8" hidden="1"/>
    <cellStyle name="Hipervínculo" xfId="238" builtinId="8" hidden="1"/>
    <cellStyle name="Hipervínculo" xfId="240" builtinId="8" hidden="1"/>
    <cellStyle name="Hipervínculo" xfId="242" builtinId="8" hidden="1"/>
    <cellStyle name="Hipervínculo" xfId="244" builtinId="8" hidden="1"/>
    <cellStyle name="Hipervínculo" xfId="246" builtinId="8" hidden="1"/>
    <cellStyle name="Hipervínculo" xfId="248" builtinId="8" hidden="1"/>
    <cellStyle name="Hipervínculo" xfId="250" builtinId="8" hidden="1"/>
    <cellStyle name="Hipervínculo" xfId="252" builtinId="8" hidden="1"/>
    <cellStyle name="Hipervínculo" xfId="254" builtinId="8" hidden="1"/>
    <cellStyle name="Hipervínculo" xfId="256" builtinId="8" hidden="1"/>
    <cellStyle name="Hipervínculo" xfId="258" builtinId="8" hidden="1"/>
    <cellStyle name="Hipervínculo" xfId="260" builtinId="8" hidden="1"/>
    <cellStyle name="Hipervínculo" xfId="262" builtinId="8" hidden="1"/>
    <cellStyle name="Hipervínculo" xfId="264" builtinId="8" hidden="1"/>
    <cellStyle name="Hipervínculo" xfId="266" builtinId="8" hidden="1"/>
    <cellStyle name="Hipervínculo" xfId="268" builtinId="8" hidden="1"/>
    <cellStyle name="Hipervínculo" xfId="270" builtinId="8" hidden="1"/>
    <cellStyle name="Hipervínculo" xfId="272" builtinId="8" hidden="1"/>
    <cellStyle name="Hipervínculo" xfId="274" builtinId="8" hidden="1"/>
    <cellStyle name="Hipervínculo" xfId="276" builtinId="8" hidden="1"/>
    <cellStyle name="Hipervínculo" xfId="278" builtinId="8" hidden="1"/>
    <cellStyle name="Hipervínculo" xfId="280" builtinId="8" hidden="1"/>
    <cellStyle name="Hipervínculo" xfId="282" builtinId="8" hidden="1"/>
    <cellStyle name="Hipervínculo" xfId="284" builtinId="8" hidden="1"/>
    <cellStyle name="Hipervínculo" xfId="286" builtinId="8" hidden="1"/>
    <cellStyle name="Hipervínculo" xfId="288" builtinId="8" hidden="1"/>
    <cellStyle name="Hipervínculo" xfId="290" builtinId="8" hidden="1"/>
    <cellStyle name="Hipervínculo" xfId="292" builtinId="8" hidden="1"/>
    <cellStyle name="Hipervínculo" xfId="294" builtinId="8" hidden="1"/>
    <cellStyle name="Hipervínculo" xfId="296" builtinId="8" hidden="1"/>
    <cellStyle name="Hipervínculo" xfId="298" builtinId="8" hidden="1"/>
    <cellStyle name="Hipervínculo" xfId="300" builtinId="8" hidden="1"/>
    <cellStyle name="Hipervínculo" xfId="302" builtinId="8" hidden="1"/>
    <cellStyle name="Hipervínculo" xfId="304" builtinId="8" hidden="1"/>
    <cellStyle name="Hipervínculo" xfId="306" builtinId="8" hidden="1"/>
    <cellStyle name="Hipervínculo" xfId="308" builtinId="8" hidden="1"/>
    <cellStyle name="Hipervínculo" xfId="310" builtinId="8" hidden="1"/>
    <cellStyle name="Hipervínculo" xfId="312" builtinId="8" hidden="1"/>
    <cellStyle name="Hipervínculo" xfId="314" builtinId="8" hidden="1"/>
    <cellStyle name="Hipervínculo" xfId="316" builtinId="8" hidden="1"/>
    <cellStyle name="Hipervínculo" xfId="318" builtinId="8" hidden="1"/>
    <cellStyle name="Hipervínculo" xfId="320" builtinId="8" hidden="1"/>
    <cellStyle name="Hipervínculo" xfId="322" builtinId="8" hidden="1"/>
    <cellStyle name="Hipervínculo" xfId="324" builtinId="8" hidden="1"/>
    <cellStyle name="Hipervínculo" xfId="326" builtinId="8" hidden="1"/>
    <cellStyle name="Hipervínculo" xfId="328" builtinId="8" hidden="1"/>
    <cellStyle name="Hipervínculo" xfId="330" builtinId="8" hidden="1"/>
    <cellStyle name="Hipervínculo" xfId="332" builtinId="8" hidden="1"/>
    <cellStyle name="Hipervínculo" xfId="334" builtinId="8" hidden="1"/>
    <cellStyle name="Hipervínculo" xfId="336" builtinId="8" hidden="1"/>
    <cellStyle name="Hipervínculo" xfId="338" builtinId="8" hidden="1"/>
    <cellStyle name="Hipervínculo" xfId="340" builtinId="8" hidden="1"/>
    <cellStyle name="Hipervínculo" xfId="342" builtinId="8" hidden="1"/>
    <cellStyle name="Hipervínculo" xfId="344" builtinId="8" hidden="1"/>
    <cellStyle name="Hipervínculo" xfId="346" builtinId="8" hidden="1"/>
    <cellStyle name="Hipervínculo" xfId="348" builtinId="8" hidden="1"/>
    <cellStyle name="Hipervínculo" xfId="350" builtinId="8" hidden="1"/>
    <cellStyle name="Hipervínculo" xfId="352" builtinId="8" hidden="1"/>
    <cellStyle name="Hipervínculo" xfId="354" builtinId="8" hidden="1"/>
    <cellStyle name="Hipervínculo" xfId="356" builtinId="8" hidden="1"/>
    <cellStyle name="Hipervínculo" xfId="358" builtinId="8" hidden="1"/>
    <cellStyle name="Hipervínculo" xfId="360" builtinId="8" hidden="1"/>
    <cellStyle name="Hipervínculo" xfId="362" builtinId="8" hidden="1"/>
    <cellStyle name="Hipervínculo" xfId="364" builtinId="8" hidden="1"/>
    <cellStyle name="Hipervínculo" xfId="366" builtinId="8" hidden="1"/>
    <cellStyle name="Hipervínculo" xfId="368" builtinId="8" hidden="1"/>
    <cellStyle name="Hipervínculo" xfId="370" builtinId="8" hidden="1"/>
    <cellStyle name="Hipervínculo" xfId="372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3" builtinId="9" hidden="1"/>
    <cellStyle name="Hipervínculo visitado" xfId="35" builtinId="9" hidden="1"/>
    <cellStyle name="Hipervínculo visitado" xfId="37" builtinId="9" hidden="1"/>
    <cellStyle name="Hipervínculo visitado" xfId="39" builtinId="9" hidden="1"/>
    <cellStyle name="Hipervínculo visitado" xfId="41" builtinId="9" hidden="1"/>
    <cellStyle name="Hipervínculo visitado" xfId="43" builtinId="9" hidden="1"/>
    <cellStyle name="Hipervínculo visitado" xfId="45" builtinId="9" hidden="1"/>
    <cellStyle name="Hipervínculo visitado" xfId="47" builtinId="9" hidden="1"/>
    <cellStyle name="Hipervínculo visitado" xfId="49" builtinId="9" hidden="1"/>
    <cellStyle name="Hipervínculo visitado" xfId="51" builtinId="9" hidden="1"/>
    <cellStyle name="Hipervínculo visitado" xfId="53" builtinId="9" hidden="1"/>
    <cellStyle name="Hipervínculo visitado" xfId="55" builtinId="9" hidden="1"/>
    <cellStyle name="Hipervínculo visitado" xfId="57" builtinId="9" hidden="1"/>
    <cellStyle name="Hipervínculo visitado" xfId="59" builtinId="9" hidden="1"/>
    <cellStyle name="Hipervínculo visitado" xfId="61" builtinId="9" hidden="1"/>
    <cellStyle name="Hipervínculo visitado" xfId="63" builtinId="9" hidden="1"/>
    <cellStyle name="Hipervínculo visitado" xfId="65" builtinId="9" hidden="1"/>
    <cellStyle name="Hipervínculo visitado" xfId="67" builtinId="9" hidden="1"/>
    <cellStyle name="Hipervínculo visitado" xfId="69" builtinId="9" hidden="1"/>
    <cellStyle name="Hipervínculo visitado" xfId="71" builtinId="9" hidden="1"/>
    <cellStyle name="Hipervínculo visitado" xfId="73" builtinId="9" hidden="1"/>
    <cellStyle name="Hipervínculo visitado" xfId="75" builtinId="9" hidden="1"/>
    <cellStyle name="Hipervínculo visitado" xfId="77" builtinId="9" hidden="1"/>
    <cellStyle name="Hipervínculo visitado" xfId="79" builtinId="9" hidden="1"/>
    <cellStyle name="Hipervínculo visitado" xfId="81" builtinId="9" hidden="1"/>
    <cellStyle name="Hipervínculo visitado" xfId="83" builtinId="9" hidden="1"/>
    <cellStyle name="Hipervínculo visitado" xfId="85" builtinId="9" hidden="1"/>
    <cellStyle name="Hipervínculo visitado" xfId="87" builtinId="9" hidden="1"/>
    <cellStyle name="Hipervínculo visitado" xfId="89" builtinId="9" hidden="1"/>
    <cellStyle name="Hipervínculo visitado" xfId="91" builtinId="9" hidden="1"/>
    <cellStyle name="Hipervínculo visitado" xfId="93" builtinId="9" hidden="1"/>
    <cellStyle name="Hipervínculo visitado" xfId="95" builtinId="9" hidden="1"/>
    <cellStyle name="Hipervínculo visitado" xfId="97" builtinId="9" hidden="1"/>
    <cellStyle name="Hipervínculo visitado" xfId="99" builtinId="9" hidden="1"/>
    <cellStyle name="Hipervínculo visitado" xfId="101" builtinId="9" hidden="1"/>
    <cellStyle name="Hipervínculo visitado" xfId="103" builtinId="9" hidden="1"/>
    <cellStyle name="Hipervínculo visitado" xfId="105" builtinId="9" hidden="1"/>
    <cellStyle name="Hipervínculo visitado" xfId="107" builtinId="9" hidden="1"/>
    <cellStyle name="Hipervínculo visitado" xfId="109" builtinId="9" hidden="1"/>
    <cellStyle name="Hipervínculo visitado" xfId="111" builtinId="9" hidden="1"/>
    <cellStyle name="Hipervínculo visitado" xfId="113" builtinId="9" hidden="1"/>
    <cellStyle name="Hipervínculo visitado" xfId="115" builtinId="9" hidden="1"/>
    <cellStyle name="Hipervínculo visitado" xfId="117" builtinId="9" hidden="1"/>
    <cellStyle name="Hipervínculo visitado" xfId="119" builtinId="9" hidden="1"/>
    <cellStyle name="Hipervínculo visitado" xfId="121" builtinId="9" hidden="1"/>
    <cellStyle name="Hipervínculo visitado" xfId="123" builtinId="9" hidden="1"/>
    <cellStyle name="Hipervínculo visitado" xfId="125" builtinId="9" hidden="1"/>
    <cellStyle name="Hipervínculo visitado" xfId="127" builtinId="9" hidden="1"/>
    <cellStyle name="Hipervínculo visitado" xfId="129" builtinId="9" hidden="1"/>
    <cellStyle name="Hipervínculo visitado" xfId="131" builtinId="9" hidden="1"/>
    <cellStyle name="Hipervínculo visitado" xfId="133" builtinId="9" hidden="1"/>
    <cellStyle name="Hipervínculo visitado" xfId="135" builtinId="9" hidden="1"/>
    <cellStyle name="Hipervínculo visitado" xfId="137" builtinId="9" hidden="1"/>
    <cellStyle name="Hipervínculo visitado" xfId="139" builtinId="9" hidden="1"/>
    <cellStyle name="Hipervínculo visitado" xfId="141" builtinId="9" hidden="1"/>
    <cellStyle name="Hipervínculo visitado" xfId="143" builtinId="9" hidden="1"/>
    <cellStyle name="Hipervínculo visitado" xfId="145" builtinId="9" hidden="1"/>
    <cellStyle name="Hipervínculo visitado" xfId="147" builtinId="9" hidden="1"/>
    <cellStyle name="Hipervínculo visitado" xfId="149" builtinId="9" hidden="1"/>
    <cellStyle name="Hipervínculo visitado" xfId="151" builtinId="9" hidden="1"/>
    <cellStyle name="Hipervínculo visitado" xfId="153" builtinId="9" hidden="1"/>
    <cellStyle name="Hipervínculo visitado" xfId="155" builtinId="9" hidden="1"/>
    <cellStyle name="Hipervínculo visitado" xfId="157" builtinId="9" hidden="1"/>
    <cellStyle name="Hipervínculo visitado" xfId="159" builtinId="9" hidden="1"/>
    <cellStyle name="Hipervínculo visitado" xfId="161" builtinId="9" hidden="1"/>
    <cellStyle name="Hipervínculo visitado" xfId="163" builtinId="9" hidden="1"/>
    <cellStyle name="Hipervínculo visitado" xfId="165" builtinId="9" hidden="1"/>
    <cellStyle name="Hipervínculo visitado" xfId="167" builtinId="9" hidden="1"/>
    <cellStyle name="Hipervínculo visitado" xfId="169" builtinId="9" hidden="1"/>
    <cellStyle name="Hipervínculo visitado" xfId="171" builtinId="9" hidden="1"/>
    <cellStyle name="Hipervínculo visitado" xfId="173" builtinId="9" hidden="1"/>
    <cellStyle name="Hipervínculo visitado" xfId="175" builtinId="9" hidden="1"/>
    <cellStyle name="Hipervínculo visitado" xfId="177" builtinId="9" hidden="1"/>
    <cellStyle name="Hipervínculo visitado" xfId="179" builtinId="9" hidden="1"/>
    <cellStyle name="Hipervínculo visitado" xfId="181" builtinId="9" hidden="1"/>
    <cellStyle name="Hipervínculo visitado" xfId="183" builtinId="9" hidden="1"/>
    <cellStyle name="Hipervínculo visitado" xfId="185" builtinId="9" hidden="1"/>
    <cellStyle name="Hipervínculo visitado" xfId="187" builtinId="9" hidden="1"/>
    <cellStyle name="Hipervínculo visitado" xfId="189" builtinId="9" hidden="1"/>
    <cellStyle name="Hipervínculo visitado" xfId="191" builtinId="9" hidden="1"/>
    <cellStyle name="Hipervínculo visitado" xfId="193" builtinId="9" hidden="1"/>
    <cellStyle name="Hipervínculo visitado" xfId="195" builtinId="9" hidden="1"/>
    <cellStyle name="Hipervínculo visitado" xfId="197" builtinId="9" hidden="1"/>
    <cellStyle name="Hipervínculo visitado" xfId="199" builtinId="9" hidden="1"/>
    <cellStyle name="Hipervínculo visitado" xfId="201" builtinId="9" hidden="1"/>
    <cellStyle name="Hipervínculo visitado" xfId="203" builtinId="9" hidden="1"/>
    <cellStyle name="Hipervínculo visitado" xfId="205" builtinId="9" hidden="1"/>
    <cellStyle name="Hipervínculo visitado" xfId="207" builtinId="9" hidden="1"/>
    <cellStyle name="Hipervínculo visitado" xfId="209" builtinId="9" hidden="1"/>
    <cellStyle name="Hipervínculo visitado" xfId="211" builtinId="9" hidden="1"/>
    <cellStyle name="Hipervínculo visitado" xfId="213" builtinId="9" hidden="1"/>
    <cellStyle name="Hipervínculo visitado" xfId="215" builtinId="9" hidden="1"/>
    <cellStyle name="Hipervínculo visitado" xfId="217" builtinId="9" hidden="1"/>
    <cellStyle name="Hipervínculo visitado" xfId="219" builtinId="9" hidden="1"/>
    <cellStyle name="Hipervínculo visitado" xfId="221" builtinId="9" hidden="1"/>
    <cellStyle name="Hipervínculo visitado" xfId="223" builtinId="9" hidden="1"/>
    <cellStyle name="Hipervínculo visitado" xfId="225" builtinId="9" hidden="1"/>
    <cellStyle name="Hipervínculo visitado" xfId="227" builtinId="9" hidden="1"/>
    <cellStyle name="Hipervínculo visitado" xfId="229" builtinId="9" hidden="1"/>
    <cellStyle name="Hipervínculo visitado" xfId="231" builtinId="9" hidden="1"/>
    <cellStyle name="Hipervínculo visitado" xfId="233" builtinId="9" hidden="1"/>
    <cellStyle name="Hipervínculo visitado" xfId="235" builtinId="9" hidden="1"/>
    <cellStyle name="Hipervínculo visitado" xfId="237" builtinId="9" hidden="1"/>
    <cellStyle name="Hipervínculo visitado" xfId="239" builtinId="9" hidden="1"/>
    <cellStyle name="Hipervínculo visitado" xfId="241" builtinId="9" hidden="1"/>
    <cellStyle name="Hipervínculo visitado" xfId="243" builtinId="9" hidden="1"/>
    <cellStyle name="Hipervínculo visitado" xfId="245" builtinId="9" hidden="1"/>
    <cellStyle name="Hipervínculo visitado" xfId="247" builtinId="9" hidden="1"/>
    <cellStyle name="Hipervínculo visitado" xfId="249" builtinId="9" hidden="1"/>
    <cellStyle name="Hipervínculo visitado" xfId="251" builtinId="9" hidden="1"/>
    <cellStyle name="Hipervínculo visitado" xfId="253" builtinId="9" hidden="1"/>
    <cellStyle name="Hipervínculo visitado" xfId="255" builtinId="9" hidden="1"/>
    <cellStyle name="Hipervínculo visitado" xfId="257" builtinId="9" hidden="1"/>
    <cellStyle name="Hipervínculo visitado" xfId="259" builtinId="9" hidden="1"/>
    <cellStyle name="Hipervínculo visitado" xfId="261" builtinId="9" hidden="1"/>
    <cellStyle name="Hipervínculo visitado" xfId="263" builtinId="9" hidden="1"/>
    <cellStyle name="Hipervínculo visitado" xfId="265" builtinId="9" hidden="1"/>
    <cellStyle name="Hipervínculo visitado" xfId="267" builtinId="9" hidden="1"/>
    <cellStyle name="Hipervínculo visitado" xfId="269" builtinId="9" hidden="1"/>
    <cellStyle name="Hipervínculo visitado" xfId="271" builtinId="9" hidden="1"/>
    <cellStyle name="Hipervínculo visitado" xfId="273" builtinId="9" hidden="1"/>
    <cellStyle name="Hipervínculo visitado" xfId="275" builtinId="9" hidden="1"/>
    <cellStyle name="Hipervínculo visitado" xfId="277" builtinId="9" hidden="1"/>
    <cellStyle name="Hipervínculo visitado" xfId="279" builtinId="9" hidden="1"/>
    <cellStyle name="Hipervínculo visitado" xfId="281" builtinId="9" hidden="1"/>
    <cellStyle name="Hipervínculo visitado" xfId="283" builtinId="9" hidden="1"/>
    <cellStyle name="Hipervínculo visitado" xfId="285" builtinId="9" hidden="1"/>
    <cellStyle name="Hipervínculo visitado" xfId="287" builtinId="9" hidden="1"/>
    <cellStyle name="Hipervínculo visitado" xfId="289" builtinId="9" hidden="1"/>
    <cellStyle name="Hipervínculo visitado" xfId="291" builtinId="9" hidden="1"/>
    <cellStyle name="Hipervínculo visitado" xfId="293" builtinId="9" hidden="1"/>
    <cellStyle name="Hipervínculo visitado" xfId="295" builtinId="9" hidden="1"/>
    <cellStyle name="Hipervínculo visitado" xfId="297" builtinId="9" hidden="1"/>
    <cellStyle name="Hipervínculo visitado" xfId="299" builtinId="9" hidden="1"/>
    <cellStyle name="Hipervínculo visitado" xfId="301" builtinId="9" hidden="1"/>
    <cellStyle name="Hipervínculo visitado" xfId="303" builtinId="9" hidden="1"/>
    <cellStyle name="Hipervínculo visitado" xfId="305" builtinId="9" hidden="1"/>
    <cellStyle name="Hipervínculo visitado" xfId="307" builtinId="9" hidden="1"/>
    <cellStyle name="Hipervínculo visitado" xfId="309" builtinId="9" hidden="1"/>
    <cellStyle name="Hipervínculo visitado" xfId="311" builtinId="9" hidden="1"/>
    <cellStyle name="Hipervínculo visitado" xfId="313" builtinId="9" hidden="1"/>
    <cellStyle name="Hipervínculo visitado" xfId="315" builtinId="9" hidden="1"/>
    <cellStyle name="Hipervínculo visitado" xfId="317" builtinId="9" hidden="1"/>
    <cellStyle name="Hipervínculo visitado" xfId="319" builtinId="9" hidden="1"/>
    <cellStyle name="Hipervínculo visitado" xfId="321" builtinId="9" hidden="1"/>
    <cellStyle name="Hipervínculo visitado" xfId="323" builtinId="9" hidden="1"/>
    <cellStyle name="Hipervínculo visitado" xfId="325" builtinId="9" hidden="1"/>
    <cellStyle name="Hipervínculo visitado" xfId="327" builtinId="9" hidden="1"/>
    <cellStyle name="Hipervínculo visitado" xfId="329" builtinId="9" hidden="1"/>
    <cellStyle name="Hipervínculo visitado" xfId="331" builtinId="9" hidden="1"/>
    <cellStyle name="Hipervínculo visitado" xfId="333" builtinId="9" hidden="1"/>
    <cellStyle name="Hipervínculo visitado" xfId="335" builtinId="9" hidden="1"/>
    <cellStyle name="Hipervínculo visitado" xfId="337" builtinId="9" hidden="1"/>
    <cellStyle name="Hipervínculo visitado" xfId="339" builtinId="9" hidden="1"/>
    <cellStyle name="Hipervínculo visitado" xfId="341" builtinId="9" hidden="1"/>
    <cellStyle name="Hipervínculo visitado" xfId="343" builtinId="9" hidden="1"/>
    <cellStyle name="Hipervínculo visitado" xfId="345" builtinId="9" hidden="1"/>
    <cellStyle name="Hipervínculo visitado" xfId="347" builtinId="9" hidden="1"/>
    <cellStyle name="Hipervínculo visitado" xfId="349" builtinId="9" hidden="1"/>
    <cellStyle name="Hipervínculo visitado" xfId="351" builtinId="9" hidden="1"/>
    <cellStyle name="Hipervínculo visitado" xfId="353" builtinId="9" hidden="1"/>
    <cellStyle name="Hipervínculo visitado" xfId="355" builtinId="9" hidden="1"/>
    <cellStyle name="Hipervínculo visitado" xfId="357" builtinId="9" hidden="1"/>
    <cellStyle name="Hipervínculo visitado" xfId="359" builtinId="9" hidden="1"/>
    <cellStyle name="Hipervínculo visitado" xfId="361" builtinId="9" hidden="1"/>
    <cellStyle name="Hipervínculo visitado" xfId="363" builtinId="9" hidden="1"/>
    <cellStyle name="Hipervínculo visitado" xfId="365" builtinId="9" hidden="1"/>
    <cellStyle name="Hipervínculo visitado" xfId="367" builtinId="9" hidden="1"/>
    <cellStyle name="Hipervínculo visitado" xfId="369" builtinId="9" hidden="1"/>
    <cellStyle name="Hipervínculo visitado" xfId="371" builtinId="9" hidden="1"/>
    <cellStyle name="Hipervínculo visitado" xfId="373" builtinId="9" hidden="1"/>
    <cellStyle name="Millares" xfId="29" builtinId="3"/>
    <cellStyle name="Millares [0]" xfId="30" builtinId="6"/>
    <cellStyle name="Normal" xfId="0" builtinId="0"/>
    <cellStyle name="Porcentual" xfId="31" builtinId="5"/>
  </cellStyles>
  <dxfs count="39">
    <dxf>
      <numFmt numFmtId="3" formatCode="#,##0"/>
    </dxf>
    <dxf>
      <numFmt numFmtId="3" formatCode="#,##0"/>
    </dxf>
    <dxf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/>
        <horizontal/>
      </border>
    </dxf>
    <dxf>
      <alignment horizontal="general" vertical="top" textRotation="0" wrapText="1" indent="0" justifyLastLine="0" shrinkToFit="0" readingOrder="0"/>
      <border diagonalUp="0" diagonalDown="0" outline="0">
        <left style="thin">
          <color auto="1"/>
        </left>
        <right/>
        <top/>
        <bottom style="thin">
          <color auto="1"/>
        </bottom>
      </border>
    </dxf>
    <dxf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alignment horizontal="general" vertical="top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 style="thin">
          <color auto="1"/>
        </bottom>
      </border>
    </dxf>
    <dxf>
      <alignment horizontal="general" vertical="top" textRotation="0" wrapText="0" indent="0" justifyLastLine="0" shrinkToFit="0" readingOrder="0"/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alignment horizontal="general" vertical="top" textRotation="0" wrapText="0" indent="0" justifyLastLine="0" shrinkToFit="0" readingOrder="0"/>
      <border diagonalUp="0" diagonalDown="0" outline="0">
        <left/>
        <right style="thin">
          <color auto="1"/>
        </right>
        <top/>
        <bottom style="thin">
          <color auto="1"/>
        </bottom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bottom style="thin">
          <color auto="1"/>
        </bottom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bottom style="thin">
          <color auto="1"/>
        </bottom>
      </border>
    </dxf>
    <dxf>
      <alignment horizontal="center" vertical="bottom" textRotation="0" wrapText="0" indent="0" justifyLastLine="0" shrinkToFit="0"/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bottom style="thin">
          <color auto="1"/>
        </bottom>
      </border>
    </dxf>
    <dxf>
      <alignment horizontal="center" vertical="bottom" textRotation="0" wrapText="0" indent="0" justifyLastLine="0" shrinkToFit="0"/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bottom style="thin">
          <color auto="1"/>
        </bottom>
      </border>
    </dxf>
    <dxf>
      <alignment horizontal="center" vertical="bottom" textRotation="0" wrapText="0" indent="0" justifyLastLine="0" shrinkToFit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3" formatCode="#,##0"/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3" formatCode="#,##0"/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3" formatCode="#,##0"/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3" formatCode="#,##0"/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</dxf>
    <dxf>
      <border outline="0"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8"/>
        <color theme="0"/>
        <name val="Calibri"/>
        <scheme val="minor"/>
      </font>
      <fill>
        <patternFill patternType="solid">
          <fgColor indexed="64"/>
          <bgColor theme="6" tint="-0.249977111117893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/>
        <top/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 style="thin">
          <color auto="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left" vertical="center" textRotation="0" wrapText="1" indent="0" justifyLastLine="0" shrinkToFit="0" readingOrder="0"/>
      <border diagonalUp="0" diagonalDown="0">
        <left/>
        <right style="thin">
          <color auto="1"/>
        </right>
        <top/>
        <bottom style="thin">
          <color auto="1"/>
        </bottom>
        <vertical/>
        <horizontal/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libri"/>
        <scheme val="minor"/>
      </font>
      <fill>
        <patternFill patternType="solid">
          <fgColor indexed="64"/>
          <bgColor theme="8" tint="0.3999755851924192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</dxfs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worksheet" Target="worksheets/sheet11.xml"/><Relationship Id="rId12" Type="http://schemas.openxmlformats.org/officeDocument/2006/relationships/worksheet" Target="worksheets/sheet12.xml"/><Relationship Id="rId13" Type="http://schemas.openxmlformats.org/officeDocument/2006/relationships/worksheet" Target="worksheets/sheet13.xml"/><Relationship Id="rId14" Type="http://schemas.openxmlformats.org/officeDocument/2006/relationships/worksheet" Target="worksheets/sheet14.xml"/><Relationship Id="rId15" Type="http://schemas.openxmlformats.org/officeDocument/2006/relationships/theme" Target="theme/theme1.xml"/><Relationship Id="rId16" Type="http://schemas.openxmlformats.org/officeDocument/2006/relationships/styles" Target="styles.xml"/><Relationship Id="rId17" Type="http://schemas.openxmlformats.org/officeDocument/2006/relationships/sharedStrings" Target="sharedStrings.xml"/><Relationship Id="rId18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Relationship Id="rId10" Type="http://schemas.openxmlformats.org/officeDocument/2006/relationships/worksheet" Target="worksheets/sheet10.xml"/></Relationships>
</file>

<file path=xl/tables/table1.xml><?xml version="1.0" encoding="utf-8"?>
<table xmlns="http://schemas.openxmlformats.org/spreadsheetml/2006/main" id="2" name="Tabla2" displayName="Tabla2" ref="B13:E20" totalsRowShown="0" headerRowDxfId="38" headerRowBorderDxfId="37" tableBorderDxfId="36">
  <tableColumns count="4">
    <tableColumn id="1" name="Item" dataDxfId="35"/>
    <tableColumn id="2" name="Híbrido " dataDxfId="34" dataCellStyle="Porcentual"/>
    <tableColumn id="3" name="Eléctrico " dataDxfId="33" dataCellStyle="Porcentual"/>
    <tableColumn id="4" name="Gas" dataDxfId="32" dataCellStyle="Porcentual"/>
  </tableColumns>
  <tableStyleInfo name="TableStyleLight2" showFirstColumn="0" showLastColumn="0" showRowStripes="1" showColumnStripes="0"/>
</table>
</file>

<file path=xl/tables/table2.xml><?xml version="1.0" encoding="utf-8"?>
<table xmlns="http://schemas.openxmlformats.org/spreadsheetml/2006/main" id="3" name="Tabla3" displayName="Tabla3" ref="B36:E44" totalsRowShown="0" headerRowDxfId="31" dataDxfId="29" headerRowBorderDxfId="30" tableBorderDxfId="28" totalsRowBorderDxfId="27">
  <tableColumns count="4">
    <tableColumn id="1" name="ITEM" dataDxfId="26"/>
    <tableColumn id="2" name="HIBRIDO" dataDxfId="25">
      <calculatedColumnFormula>+D25</calculatedColumnFormula>
    </tableColumn>
    <tableColumn id="3" name="ELÉCTRICO" dataDxfId="24"/>
    <tableColumn id="4" name="GAS" dataDxfId="23"/>
  </tableColumns>
  <tableStyleInfo name="TableStyleLight4" showFirstColumn="0" showLastColumn="0" showRowStripes="1" showColumnStripes="0"/>
</table>
</file>

<file path=xl/tables/table3.xml><?xml version="1.0" encoding="utf-8"?>
<table xmlns="http://schemas.openxmlformats.org/spreadsheetml/2006/main" id="4" name="Tabla4" displayName="Tabla4" ref="G28:J30" totalsRowShown="0" headerRowDxfId="22" headerRowBorderDxfId="21" tableBorderDxfId="20" totalsRowBorderDxfId="19">
  <tableColumns count="4">
    <tableColumn id="1" name="HIBRIDO"/>
    <tableColumn id="2" name=" 5 años"/>
    <tableColumn id="3" name=" 10 años"/>
    <tableColumn id="4" name=" 12 años"/>
  </tableColumns>
  <tableStyleInfo name="TableStyleLight5" showFirstColumn="0" showLastColumn="0" showRowStripes="1" showColumnStripes="0"/>
</table>
</file>

<file path=xl/tables/table4.xml><?xml version="1.0" encoding="utf-8"?>
<table xmlns="http://schemas.openxmlformats.org/spreadsheetml/2006/main" id="5" name="Tabla5" displayName="Tabla5" ref="G32:J34" totalsRowShown="0" headerRowDxfId="18" headerRowBorderDxfId="17" tableBorderDxfId="16" totalsRowBorderDxfId="15">
  <tableColumns count="4">
    <tableColumn id="1" name="ELÉCTRICO"/>
    <tableColumn id="2" name=" 5 años"/>
    <tableColumn id="3" name=" 10 años"/>
    <tableColumn id="4" name=" 12 años"/>
  </tableColumns>
  <tableStyleInfo name="TableStyleLight2" showFirstColumn="0" showLastColumn="0" showRowStripes="1" showColumnStripes="0"/>
</table>
</file>

<file path=xl/tables/table5.xml><?xml version="1.0" encoding="utf-8"?>
<table xmlns="http://schemas.openxmlformats.org/spreadsheetml/2006/main" id="6" name="Tabla6" displayName="Tabla6" ref="G36:J38" totalsRowShown="0" headerRowDxfId="14" headerRowBorderDxfId="13" tableBorderDxfId="12" totalsRowBorderDxfId="11">
  <tableColumns count="4">
    <tableColumn id="1" name="GAS"/>
    <tableColumn id="2" name=" 5 años"/>
    <tableColumn id="3" name=" 10 años"/>
    <tableColumn id="4" name=" 12 años"/>
  </tableColumns>
  <tableStyleInfo name="TableStyleLight4" showFirstColumn="0" showLastColumn="0" showRowStripes="1" showColumnStripes="0"/>
</table>
</file>

<file path=xl/tables/table6.xml><?xml version="1.0" encoding="utf-8"?>
<table xmlns="http://schemas.openxmlformats.org/spreadsheetml/2006/main" id="1" name="Tabla1" displayName="Tabla1" ref="A1:E8" headerRowCount="0" totalsRowShown="0" headerRowBorderDxfId="10" tableBorderDxfId="9" totalsRowBorderDxfId="8">
  <tableColumns count="5">
    <tableColumn id="1" name="Columna1" headerRowDxfId="7" dataDxfId="6"/>
    <tableColumn id="2" name="Columna2" headerRowDxfId="5" dataDxfId="4"/>
    <tableColumn id="3" name="Columna3" headerRowDxfId="3" dataDxfId="2"/>
    <tableColumn id="4" name="Columna4" dataDxfId="1"/>
    <tableColumn id="5" name="Columna5" dataDxfId="0">
      <calculatedColumnFormula>Tabla1[[#This Row],[Columna4]]*100</calculatedColumnFormula>
    </tableColumn>
  </tableColumns>
  <tableStyleInfo name="TableStyleLight16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8.vml"/><Relationship Id="rId2" Type="http://schemas.openxmlformats.org/officeDocument/2006/relationships/comments" Target="../comments8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9.vml"/><Relationship Id="rId2" Type="http://schemas.openxmlformats.org/officeDocument/2006/relationships/comments" Target="../comments9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4" Type="http://schemas.openxmlformats.org/officeDocument/2006/relationships/table" Target="../tables/table4.xml"/><Relationship Id="rId5" Type="http://schemas.openxmlformats.org/officeDocument/2006/relationships/table" Target="../tables/table5.xml"/><Relationship Id="rId1" Type="http://schemas.openxmlformats.org/officeDocument/2006/relationships/table" Target="../tables/table1.xml"/><Relationship Id="rId2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Relationship Id="rId2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2.vml"/><Relationship Id="rId2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3.vml"/><Relationship Id="rId2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4.vml"/><Relationship Id="rId2" Type="http://schemas.openxmlformats.org/officeDocument/2006/relationships/comments" Target="../comments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5.vml"/><Relationship Id="rId2" Type="http://schemas.openxmlformats.org/officeDocument/2006/relationships/comments" Target="../comments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6.vml"/><Relationship Id="rId2" Type="http://schemas.openxmlformats.org/officeDocument/2006/relationships/comments" Target="../comments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7.vml"/><Relationship Id="rId2" Type="http://schemas.openxmlformats.org/officeDocument/2006/relationships/comments" Target="../comments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44"/>
  <sheetViews>
    <sheetView showGridLines="0" topLeftCell="A9" workbookViewId="0">
      <selection activeCell="J30" sqref="J30"/>
    </sheetView>
  </sheetViews>
  <sheetFormatPr baseColWidth="10" defaultRowHeight="15" x14ac:dyDescent="0"/>
  <cols>
    <col min="2" max="2" width="30" customWidth="1"/>
    <col min="3" max="3" width="28.1640625" customWidth="1"/>
    <col min="4" max="4" width="28.6640625" customWidth="1"/>
    <col min="5" max="5" width="22" customWidth="1"/>
    <col min="7" max="7" width="27" bestFit="1" customWidth="1"/>
  </cols>
  <sheetData>
    <row r="3" spans="2:5">
      <c r="B3" s="252" t="s">
        <v>204</v>
      </c>
      <c r="C3" s="252" t="s">
        <v>205</v>
      </c>
      <c r="D3" s="252" t="s">
        <v>206</v>
      </c>
      <c r="E3" s="252" t="s">
        <v>202</v>
      </c>
    </row>
    <row r="4" spans="2:5">
      <c r="B4" s="253" t="s">
        <v>207</v>
      </c>
      <c r="C4" s="254">
        <v>80000</v>
      </c>
      <c r="D4" s="254">
        <v>310000</v>
      </c>
      <c r="E4" s="254">
        <v>38000</v>
      </c>
    </row>
    <row r="5" spans="2:5">
      <c r="B5" s="255"/>
      <c r="C5" s="256">
        <v>0.42105263157894735</v>
      </c>
      <c r="D5" s="256">
        <v>1.631578947368421</v>
      </c>
      <c r="E5" s="256">
        <v>0.2</v>
      </c>
    </row>
    <row r="6" spans="2:5">
      <c r="B6" s="257" t="s">
        <v>208</v>
      </c>
      <c r="C6" s="258" t="s">
        <v>209</v>
      </c>
      <c r="D6" s="258" t="s">
        <v>210</v>
      </c>
      <c r="E6" s="258" t="s">
        <v>211</v>
      </c>
    </row>
    <row r="7" spans="2:5" ht="30">
      <c r="B7" s="257" t="s">
        <v>212</v>
      </c>
      <c r="C7" s="258" t="s">
        <v>213</v>
      </c>
      <c r="D7" s="258" t="s">
        <v>214</v>
      </c>
      <c r="E7" s="258" t="s">
        <v>215</v>
      </c>
    </row>
    <row r="8" spans="2:5">
      <c r="B8" s="257" t="s">
        <v>182</v>
      </c>
      <c r="C8" s="258" t="s">
        <v>216</v>
      </c>
      <c r="D8" s="258" t="s">
        <v>217</v>
      </c>
      <c r="E8" s="258" t="s">
        <v>217</v>
      </c>
    </row>
    <row r="9" spans="2:5">
      <c r="B9" s="257" t="s">
        <v>218</v>
      </c>
      <c r="C9" s="258" t="s">
        <v>219</v>
      </c>
      <c r="D9" s="258" t="s">
        <v>220</v>
      </c>
      <c r="E9" s="258" t="s">
        <v>221</v>
      </c>
    </row>
    <row r="10" spans="2:5">
      <c r="B10" s="257" t="s">
        <v>222</v>
      </c>
      <c r="C10" s="258" t="s">
        <v>223</v>
      </c>
      <c r="D10" s="258" t="s">
        <v>220</v>
      </c>
      <c r="E10" s="258" t="s">
        <v>221</v>
      </c>
    </row>
    <row r="13" spans="2:5">
      <c r="B13" s="252" t="s">
        <v>204</v>
      </c>
      <c r="C13" s="252" t="s">
        <v>205</v>
      </c>
      <c r="D13" s="252" t="s">
        <v>206</v>
      </c>
      <c r="E13" s="252" t="s">
        <v>202</v>
      </c>
    </row>
    <row r="14" spans="2:5">
      <c r="B14" s="253" t="s">
        <v>207</v>
      </c>
      <c r="C14" s="254">
        <v>80000</v>
      </c>
      <c r="D14" s="254">
        <v>310000</v>
      </c>
      <c r="E14" s="254">
        <v>38000</v>
      </c>
    </row>
    <row r="15" spans="2:5">
      <c r="B15" s="255"/>
      <c r="C15" s="256">
        <v>0.42105263157894735</v>
      </c>
      <c r="D15" s="256">
        <v>1.631578947368421</v>
      </c>
      <c r="E15" s="256">
        <v>0.2</v>
      </c>
    </row>
    <row r="16" spans="2:5">
      <c r="B16" s="257" t="s">
        <v>208</v>
      </c>
      <c r="C16" s="258" t="s">
        <v>209</v>
      </c>
      <c r="D16" s="258" t="s">
        <v>210</v>
      </c>
      <c r="E16" s="258" t="s">
        <v>211</v>
      </c>
    </row>
    <row r="17" spans="2:10" ht="30">
      <c r="B17" s="257" t="s">
        <v>212</v>
      </c>
      <c r="C17" s="258" t="s">
        <v>213</v>
      </c>
      <c r="D17" s="258" t="s">
        <v>214</v>
      </c>
      <c r="E17" s="258" t="s">
        <v>215</v>
      </c>
    </row>
    <row r="18" spans="2:10">
      <c r="B18" s="257" t="s">
        <v>182</v>
      </c>
      <c r="C18" s="258" t="s">
        <v>216</v>
      </c>
      <c r="D18" s="258" t="s">
        <v>217</v>
      </c>
      <c r="E18" s="258" t="s">
        <v>217</v>
      </c>
    </row>
    <row r="19" spans="2:10">
      <c r="B19" s="257" t="s">
        <v>218</v>
      </c>
      <c r="C19" s="258" t="s">
        <v>219</v>
      </c>
      <c r="D19" s="258" t="s">
        <v>220</v>
      </c>
      <c r="E19" s="258" t="s">
        <v>221</v>
      </c>
    </row>
    <row r="20" spans="2:10">
      <c r="B20" s="257" t="s">
        <v>222</v>
      </c>
      <c r="C20" s="258" t="s">
        <v>223</v>
      </c>
      <c r="D20" s="258" t="s">
        <v>220</v>
      </c>
      <c r="E20" s="258" t="s">
        <v>221</v>
      </c>
    </row>
    <row r="23" spans="2:10">
      <c r="B23" s="259" t="s">
        <v>228</v>
      </c>
    </row>
    <row r="24" spans="2:10">
      <c r="B24" s="260"/>
      <c r="C24" s="261" t="s">
        <v>224</v>
      </c>
      <c r="D24" s="261" t="s">
        <v>225</v>
      </c>
      <c r="E24" s="261" t="s">
        <v>226</v>
      </c>
    </row>
    <row r="25" spans="2:10">
      <c r="B25" s="131" t="s">
        <v>145</v>
      </c>
      <c r="C25" s="243">
        <f>+'Híbrido DELTA (2)'!I21</f>
        <v>-1476000</v>
      </c>
      <c r="D25" s="243">
        <f>+'Híbrido DELTA (2)'!N44</f>
        <v>-2706000</v>
      </c>
      <c r="E25" s="243">
        <f>+'Híbrido DELTA (2)'!P67</f>
        <v>-3198000</v>
      </c>
      <c r="G25" s="241" t="s">
        <v>198</v>
      </c>
      <c r="H25" s="241">
        <v>3939</v>
      </c>
      <c r="I25" s="4"/>
      <c r="J25" s="4"/>
    </row>
    <row r="26" spans="2:10">
      <c r="B26" s="131" t="s">
        <v>120</v>
      </c>
      <c r="C26" s="243">
        <f>+'Híbrido DELTA (2)'!I22</f>
        <v>7031250</v>
      </c>
      <c r="D26" s="243">
        <f>+'Híbrido DELTA (2)'!N45</f>
        <v>14062500</v>
      </c>
      <c r="E26" s="243">
        <f>+'Híbrido DELTA (2)'!P68</f>
        <v>16875000</v>
      </c>
      <c r="G26" s="4"/>
      <c r="H26" s="4"/>
      <c r="I26" s="4"/>
      <c r="J26" s="4"/>
    </row>
    <row r="27" spans="2:10">
      <c r="B27" s="131" t="s">
        <v>121</v>
      </c>
      <c r="C27" s="243">
        <f>+'Híbrido DELTA (2)'!I23</f>
        <v>-6158250</v>
      </c>
      <c r="D27" s="243">
        <f>+'Híbrido DELTA (2)'!N46</f>
        <v>-12316500</v>
      </c>
      <c r="E27" s="243">
        <f>+'Híbrido DELTA (2)'!P69</f>
        <v>-14779800</v>
      </c>
      <c r="G27" s="241"/>
      <c r="H27" s="242" t="s">
        <v>190</v>
      </c>
      <c r="I27" s="243" t="s">
        <v>191</v>
      </c>
      <c r="J27" s="243" t="s">
        <v>192</v>
      </c>
    </row>
    <row r="28" spans="2:10">
      <c r="B28" s="131" t="s">
        <v>122</v>
      </c>
      <c r="C28" s="243">
        <f>+'Híbrido DELTA (2)'!I24</f>
        <v>338173.828125</v>
      </c>
      <c r="D28" s="243">
        <f>+'Híbrido DELTA (2)'!N47</f>
        <v>676347.65625</v>
      </c>
      <c r="E28" s="243">
        <f>+'Híbrido DELTA (2)'!P70</f>
        <v>811617.1875</v>
      </c>
      <c r="G28" s="241"/>
      <c r="H28" s="244">
        <v>0.37</v>
      </c>
      <c r="I28" s="244">
        <v>0.2</v>
      </c>
      <c r="J28" s="244">
        <v>0.17</v>
      </c>
    </row>
    <row r="29" spans="2:10">
      <c r="B29" s="131" t="s">
        <v>123</v>
      </c>
      <c r="C29" s="243">
        <f>+'Híbrido DELTA (2)'!I25</f>
        <v>557812.5</v>
      </c>
      <c r="D29" s="243">
        <f>+'Híbrido DELTA (2)'!N48</f>
        <v>1115625</v>
      </c>
      <c r="E29" s="243">
        <f>+'Híbrido DELTA (2)'!P71</f>
        <v>1338750</v>
      </c>
      <c r="G29" s="241" t="s">
        <v>199</v>
      </c>
      <c r="H29" s="243">
        <f>+$F$7*(H28)</f>
        <v>0</v>
      </c>
      <c r="I29" s="243">
        <f>+$F$7*(I28)</f>
        <v>0</v>
      </c>
      <c r="J29" s="243">
        <f>+$F$7*(J28)</f>
        <v>0</v>
      </c>
    </row>
    <row r="30" spans="2:10">
      <c r="B30" s="131" t="s">
        <v>227</v>
      </c>
      <c r="C30" s="243">
        <f>+'Híbrido DELTA (2)'!I26</f>
        <v>-8200000</v>
      </c>
      <c r="D30" s="243">
        <f>+'Híbrido DELTA (2)'!N49</f>
        <v>-8200000</v>
      </c>
      <c r="E30" s="243">
        <f>+'Híbrido DELTA (2)'!P72</f>
        <v>-8199999.9999999991</v>
      </c>
    </row>
    <row r="31" spans="2:10">
      <c r="B31" s="131" t="s">
        <v>183</v>
      </c>
      <c r="C31" s="243">
        <f>+'Híbrido DELTA (2)'!I27</f>
        <v>0</v>
      </c>
      <c r="D31" s="243">
        <f>+'Híbrido DELTA (2)'!N50</f>
        <v>0</v>
      </c>
      <c r="E31" s="243">
        <f>+'Híbrido DELTA (2)'!P73</f>
        <v>0</v>
      </c>
    </row>
    <row r="32" spans="2:10">
      <c r="B32" s="131" t="s">
        <v>150</v>
      </c>
      <c r="C32" s="243">
        <f>+'Híbrido DELTA (2)'!I28</f>
        <v>-600000</v>
      </c>
      <c r="D32" s="243">
        <f>+'Híbrido DELTA (2)'!N51</f>
        <v>-1200000</v>
      </c>
      <c r="E32" s="243">
        <f>+'Híbrido DELTA (2)'!P74</f>
        <v>-1440000</v>
      </c>
    </row>
    <row r="35" spans="2:5">
      <c r="B35" s="259" t="s">
        <v>225</v>
      </c>
    </row>
    <row r="36" spans="2:5">
      <c r="B36" s="260"/>
      <c r="C36" s="261" t="s">
        <v>228</v>
      </c>
      <c r="D36" s="261" t="s">
        <v>229</v>
      </c>
      <c r="E36" s="261" t="s">
        <v>230</v>
      </c>
    </row>
    <row r="37" spans="2:5">
      <c r="B37" s="131" t="s">
        <v>145</v>
      </c>
      <c r="C37" s="243">
        <f>+D25</f>
        <v>-2706000</v>
      </c>
      <c r="D37" s="243">
        <v>-10230000</v>
      </c>
      <c r="E37" s="243">
        <v>-1254000</v>
      </c>
    </row>
    <row r="38" spans="2:5">
      <c r="B38" s="131" t="s">
        <v>120</v>
      </c>
      <c r="C38" s="243">
        <f t="shared" ref="C38:C44" si="0">+D26</f>
        <v>14062500</v>
      </c>
      <c r="D38" s="243">
        <v>32812500.000000004</v>
      </c>
      <c r="E38" s="243">
        <v>0</v>
      </c>
    </row>
    <row r="39" spans="2:5">
      <c r="B39" s="131" t="s">
        <v>121</v>
      </c>
      <c r="C39" s="243">
        <f t="shared" si="0"/>
        <v>-12316500</v>
      </c>
      <c r="D39" s="243">
        <v>-18474750</v>
      </c>
      <c r="E39" s="243">
        <v>0</v>
      </c>
    </row>
    <row r="40" spans="2:5">
      <c r="B40" s="131" t="s">
        <v>122</v>
      </c>
      <c r="C40" s="243">
        <f t="shared" si="0"/>
        <v>676347.65625</v>
      </c>
      <c r="D40" s="243">
        <v>2254492.1875000005</v>
      </c>
      <c r="E40" s="243">
        <v>2254492.1875000005</v>
      </c>
    </row>
    <row r="41" spans="2:5">
      <c r="B41" s="131" t="s">
        <v>123</v>
      </c>
      <c r="C41" s="243">
        <f t="shared" si="0"/>
        <v>1115625</v>
      </c>
      <c r="D41" s="243">
        <v>1115625</v>
      </c>
      <c r="E41" s="243">
        <v>0</v>
      </c>
    </row>
    <row r="42" spans="2:5">
      <c r="B42" s="131" t="s">
        <v>227</v>
      </c>
      <c r="C42" s="243">
        <f t="shared" si="0"/>
        <v>-8200000</v>
      </c>
      <c r="D42" s="243">
        <v>-31000000</v>
      </c>
      <c r="E42" s="243">
        <v>-3800000</v>
      </c>
    </row>
    <row r="43" spans="2:5">
      <c r="B43" s="131" t="s">
        <v>183</v>
      </c>
      <c r="C43" s="243">
        <f t="shared" si="0"/>
        <v>0</v>
      </c>
      <c r="D43" s="243">
        <v>0</v>
      </c>
      <c r="E43" s="243">
        <v>0</v>
      </c>
    </row>
    <row r="44" spans="2:5">
      <c r="B44" s="131" t="s">
        <v>150</v>
      </c>
      <c r="C44" s="243">
        <f t="shared" si="0"/>
        <v>-1200000</v>
      </c>
      <c r="D44" s="243">
        <v>12757172.34996797</v>
      </c>
      <c r="E44" s="243">
        <v>1200000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zoomScale="125" zoomScaleNormal="125" zoomScalePageLayoutView="125" workbookViewId="0">
      <selection activeCell="C3" sqref="C3:C8"/>
    </sheetView>
  </sheetViews>
  <sheetFormatPr baseColWidth="10" defaultRowHeight="15" x14ac:dyDescent="0"/>
  <cols>
    <col min="1" max="1" width="11.1640625" style="174" customWidth="1"/>
    <col min="2" max="2" width="39.6640625" style="173" customWidth="1"/>
    <col min="3" max="3" width="35.83203125" style="173" customWidth="1"/>
  </cols>
  <sheetData>
    <row r="1" spans="1:5">
      <c r="A1" s="176" t="s">
        <v>133</v>
      </c>
      <c r="B1" s="175" t="s">
        <v>137</v>
      </c>
      <c r="C1" s="177"/>
      <c r="D1" s="182">
        <v>46875.000000000007</v>
      </c>
      <c r="E1" s="1">
        <f>Tabla1[[#This Row],[Columna4]]*100</f>
        <v>4687500.0000000009</v>
      </c>
    </row>
    <row r="2" spans="1:5" ht="30">
      <c r="A2" s="176" t="s">
        <v>133</v>
      </c>
      <c r="B2" s="175" t="s">
        <v>138</v>
      </c>
      <c r="C2" s="177"/>
      <c r="D2" s="1">
        <v>19635</v>
      </c>
      <c r="E2" s="1">
        <f>Tabla1[[#This Row],[Columna4]]*100</f>
        <v>1963500</v>
      </c>
    </row>
    <row r="3" spans="1:5">
      <c r="A3" s="176" t="s">
        <v>133</v>
      </c>
      <c r="B3" s="175" t="s">
        <v>139</v>
      </c>
      <c r="C3" s="177"/>
      <c r="D3" s="1"/>
      <c r="E3" s="1">
        <f>Tabla1[[#This Row],[Columna4]]*100</f>
        <v>0</v>
      </c>
    </row>
    <row r="4" spans="1:5" ht="30">
      <c r="A4" s="176" t="s">
        <v>133</v>
      </c>
      <c r="B4" s="175" t="s">
        <v>140</v>
      </c>
      <c r="C4" s="177"/>
      <c r="D4" s="1"/>
      <c r="E4" s="1">
        <f>Tabla1[[#This Row],[Columna4]]*100</f>
        <v>0</v>
      </c>
    </row>
    <row r="5" spans="1:5" ht="30">
      <c r="A5" s="176" t="s">
        <v>133</v>
      </c>
      <c r="B5" s="175" t="s">
        <v>141</v>
      </c>
      <c r="C5" s="177"/>
      <c r="D5" s="1"/>
      <c r="E5" s="1">
        <f>Tabla1[[#This Row],[Columna4]]*100</f>
        <v>0</v>
      </c>
    </row>
    <row r="6" spans="1:5" ht="30">
      <c r="A6" s="176" t="s">
        <v>134</v>
      </c>
      <c r="B6" s="175" t="s">
        <v>143</v>
      </c>
      <c r="C6" s="178" t="s">
        <v>135</v>
      </c>
      <c r="D6" s="1"/>
      <c r="E6" s="1">
        <f>Tabla1[[#This Row],[Columna4]]*100</f>
        <v>0</v>
      </c>
    </row>
    <row r="7" spans="1:5" ht="30">
      <c r="A7" s="176" t="s">
        <v>134</v>
      </c>
      <c r="B7" s="175" t="s">
        <v>142</v>
      </c>
      <c r="C7" s="177"/>
      <c r="D7" s="1"/>
      <c r="E7" s="1">
        <f>Tabla1[[#This Row],[Columna4]]*100</f>
        <v>0</v>
      </c>
    </row>
    <row r="8" spans="1:5" ht="30">
      <c r="A8" s="179" t="s">
        <v>134</v>
      </c>
      <c r="B8" s="180" t="s">
        <v>136</v>
      </c>
      <c r="C8" s="181"/>
      <c r="D8" s="1"/>
      <c r="E8" s="1">
        <f>Tabla1[[#This Row],[Columna4]]*100</f>
        <v>0</v>
      </c>
    </row>
  </sheetData>
  <pageMargins left="0.75" right="0.75" top="1" bottom="1" header="0.5" footer="0.5"/>
  <pageSetup orientation="portrait" horizontalDpi="4294967292" verticalDpi="4294967292"/>
  <tableParts count="1">
    <tablePart r:id="rId1"/>
  </tableParts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zoomScale="125" zoomScaleNormal="125" zoomScalePageLayoutView="125" workbookViewId="0">
      <selection activeCell="D28" sqref="D28"/>
    </sheetView>
  </sheetViews>
  <sheetFormatPr baseColWidth="10" defaultRowHeight="15" x14ac:dyDescent="0"/>
  <cols>
    <col min="1" max="1" width="19.5" style="4" customWidth="1"/>
    <col min="2" max="2" width="6.83203125" style="9" bestFit="1" customWidth="1"/>
    <col min="3" max="15" width="9.1640625" style="6" customWidth="1"/>
    <col min="16" max="16384" width="10.83203125" style="1"/>
  </cols>
  <sheetData>
    <row r="1" spans="1:15">
      <c r="A1" s="11" t="s">
        <v>25</v>
      </c>
      <c r="B1" s="9" t="s">
        <v>16</v>
      </c>
      <c r="C1" s="6" t="s">
        <v>0</v>
      </c>
      <c r="D1" s="6" t="s">
        <v>1</v>
      </c>
      <c r="E1" s="6" t="s">
        <v>2</v>
      </c>
      <c r="F1" s="6" t="s">
        <v>3</v>
      </c>
      <c r="G1" s="6" t="s">
        <v>4</v>
      </c>
      <c r="H1" s="6" t="s">
        <v>5</v>
      </c>
      <c r="I1" s="6" t="s">
        <v>6</v>
      </c>
      <c r="J1" s="6" t="s">
        <v>7</v>
      </c>
      <c r="K1" s="6" t="s">
        <v>8</v>
      </c>
      <c r="L1" s="6" t="s">
        <v>9</v>
      </c>
      <c r="M1" s="6" t="s">
        <v>10</v>
      </c>
      <c r="N1" s="6" t="s">
        <v>11</v>
      </c>
      <c r="O1" s="6" t="s">
        <v>12</v>
      </c>
    </row>
    <row r="2" spans="1:15">
      <c r="A2" s="4" t="s">
        <v>27</v>
      </c>
      <c r="B2" s="9" t="s">
        <v>17</v>
      </c>
      <c r="C2" s="6">
        <v>198000</v>
      </c>
    </row>
    <row r="3" spans="1:15">
      <c r="A3" s="4" t="s">
        <v>15</v>
      </c>
      <c r="B3" s="9" t="s">
        <v>18</v>
      </c>
      <c r="D3" s="6">
        <v>7500</v>
      </c>
      <c r="E3" s="6">
        <v>7500</v>
      </c>
      <c r="F3" s="6">
        <v>7500</v>
      </c>
      <c r="G3" s="6">
        <v>7500</v>
      </c>
      <c r="H3" s="6">
        <v>7500</v>
      </c>
      <c r="I3" s="6">
        <v>7500</v>
      </c>
      <c r="J3" s="6">
        <v>7500</v>
      </c>
      <c r="K3" s="6">
        <v>7500</v>
      </c>
      <c r="L3" s="6">
        <v>7500</v>
      </c>
      <c r="M3" s="6">
        <v>7500</v>
      </c>
      <c r="N3" s="6">
        <v>7500</v>
      </c>
      <c r="O3" s="6">
        <v>7500</v>
      </c>
    </row>
    <row r="4" spans="1:15" s="2" customFormat="1">
      <c r="A4" s="5" t="s">
        <v>13</v>
      </c>
      <c r="B4" s="10" t="s">
        <v>19</v>
      </c>
      <c r="C4" s="7"/>
      <c r="D4" s="7">
        <v>0.5</v>
      </c>
      <c r="E4" s="7">
        <v>0.5</v>
      </c>
      <c r="F4" s="7">
        <v>0.5</v>
      </c>
      <c r="G4" s="7">
        <v>0.5</v>
      </c>
      <c r="H4" s="7">
        <v>0.5</v>
      </c>
      <c r="I4" s="7">
        <v>0.5</v>
      </c>
      <c r="J4" s="7">
        <v>0.5</v>
      </c>
      <c r="K4" s="7">
        <v>0.5</v>
      </c>
      <c r="L4" s="7">
        <v>0.5</v>
      </c>
      <c r="M4" s="7">
        <v>0.5</v>
      </c>
      <c r="N4" s="7">
        <v>0.5</v>
      </c>
      <c r="O4" s="7">
        <v>0.5</v>
      </c>
    </row>
    <row r="5" spans="1:15" s="17" customFormat="1">
      <c r="A5" s="13" t="s">
        <v>22</v>
      </c>
      <c r="B5" s="14" t="s">
        <v>17</v>
      </c>
      <c r="C5" s="15"/>
      <c r="D5" s="16">
        <f>D4*D3</f>
        <v>3750</v>
      </c>
      <c r="E5" s="16">
        <f t="shared" ref="E5" si="0">E4*E3</f>
        <v>3750</v>
      </c>
      <c r="F5" s="16">
        <f t="shared" ref="F5" si="1">F4*F3</f>
        <v>3750</v>
      </c>
      <c r="G5" s="16">
        <f t="shared" ref="G5" si="2">G4*G3</f>
        <v>3750</v>
      </c>
      <c r="H5" s="16">
        <f t="shared" ref="H5" si="3">H4*H3</f>
        <v>3750</v>
      </c>
      <c r="I5" s="16">
        <f t="shared" ref="I5" si="4">I4*I3</f>
        <v>3750</v>
      </c>
      <c r="J5" s="16">
        <f t="shared" ref="J5" si="5">J4*J3</f>
        <v>3750</v>
      </c>
      <c r="K5" s="16">
        <f t="shared" ref="K5" si="6">K4*K3</f>
        <v>3750</v>
      </c>
      <c r="L5" s="16">
        <f t="shared" ref="L5" si="7">L4*L3</f>
        <v>3750</v>
      </c>
      <c r="M5" s="16">
        <f t="shared" ref="M5" si="8">M4*M3</f>
        <v>3750</v>
      </c>
      <c r="N5" s="16">
        <f t="shared" ref="N5" si="9">N4*N3</f>
        <v>3750</v>
      </c>
      <c r="O5" s="16">
        <f t="shared" ref="O5" si="10">O4*O3</f>
        <v>3750</v>
      </c>
    </row>
    <row r="6" spans="1:15" s="2" customFormat="1">
      <c r="A6" s="5" t="s">
        <v>14</v>
      </c>
      <c r="B6" s="10" t="s">
        <v>20</v>
      </c>
      <c r="C6" s="7"/>
      <c r="D6" s="8">
        <v>0</v>
      </c>
      <c r="E6" s="8">
        <v>0</v>
      </c>
      <c r="F6" s="8">
        <v>0</v>
      </c>
      <c r="G6" s="8">
        <v>0</v>
      </c>
      <c r="H6" s="8">
        <v>0</v>
      </c>
      <c r="I6" s="8">
        <v>0</v>
      </c>
      <c r="J6" s="8">
        <v>0</v>
      </c>
      <c r="K6" s="8">
        <v>0</v>
      </c>
      <c r="L6" s="8">
        <v>0</v>
      </c>
      <c r="M6" s="8">
        <v>0</v>
      </c>
      <c r="N6" s="8">
        <v>0</v>
      </c>
      <c r="O6" s="8">
        <v>0</v>
      </c>
    </row>
    <row r="7" spans="1:15" s="17" customFormat="1">
      <c r="A7" s="13" t="s">
        <v>24</v>
      </c>
      <c r="B7" s="14" t="s">
        <v>17</v>
      </c>
      <c r="C7" s="15"/>
      <c r="D7" s="21">
        <f>D6*D5</f>
        <v>0</v>
      </c>
      <c r="E7" s="21">
        <f t="shared" ref="E7" si="11">E6*E5</f>
        <v>0</v>
      </c>
      <c r="F7" s="21">
        <f t="shared" ref="F7" si="12">F6*F5</f>
        <v>0</v>
      </c>
      <c r="G7" s="21">
        <f t="shared" ref="G7" si="13">G6*G5</f>
        <v>0</v>
      </c>
      <c r="H7" s="21">
        <f t="shared" ref="H7" si="14">H6*H5</f>
        <v>0</v>
      </c>
      <c r="I7" s="21">
        <f t="shared" ref="I7" si="15">I6*I5</f>
        <v>0</v>
      </c>
      <c r="J7" s="21">
        <f t="shared" ref="J7" si="16">J6*J5</f>
        <v>0</v>
      </c>
      <c r="K7" s="21">
        <f t="shared" ref="K7" si="17">K6*K5</f>
        <v>0</v>
      </c>
      <c r="L7" s="21">
        <f t="shared" ref="L7" si="18">L6*L5</f>
        <v>0</v>
      </c>
      <c r="M7" s="21">
        <f t="shared" ref="M7" si="19">M6*M5</f>
        <v>0</v>
      </c>
      <c r="N7" s="21">
        <f t="shared" ref="N7" si="20">N6*N5</f>
        <v>0</v>
      </c>
      <c r="O7" s="21">
        <f t="shared" ref="O7" si="21">O6*O5</f>
        <v>0</v>
      </c>
    </row>
    <row r="8" spans="1:15" s="20" customFormat="1">
      <c r="A8" s="18" t="s">
        <v>26</v>
      </c>
      <c r="B8" s="19" t="s">
        <v>19</v>
      </c>
      <c r="C8" s="12"/>
      <c r="D8" s="12">
        <v>0.2</v>
      </c>
      <c r="E8" s="12">
        <v>0.2</v>
      </c>
      <c r="F8" s="12">
        <v>0.2</v>
      </c>
      <c r="G8" s="12">
        <v>0.2</v>
      </c>
      <c r="H8" s="12">
        <v>0.2</v>
      </c>
      <c r="I8" s="12">
        <v>0.2</v>
      </c>
      <c r="J8" s="12">
        <v>0.2</v>
      </c>
      <c r="K8" s="12">
        <v>0.2</v>
      </c>
      <c r="L8" s="12">
        <v>0.2</v>
      </c>
      <c r="M8" s="12">
        <v>0.2</v>
      </c>
      <c r="N8" s="12">
        <v>0.2</v>
      </c>
      <c r="O8" s="12">
        <v>0.2</v>
      </c>
    </row>
    <row r="9" spans="1:15" s="25" customFormat="1">
      <c r="A9" s="22" t="s">
        <v>30</v>
      </c>
      <c r="B9" s="23" t="s">
        <v>17</v>
      </c>
      <c r="C9" s="24">
        <v>0</v>
      </c>
      <c r="D9" s="24" t="s">
        <v>32</v>
      </c>
      <c r="E9" s="24" t="s">
        <v>32</v>
      </c>
      <c r="F9" s="24" t="s">
        <v>32</v>
      </c>
      <c r="G9" s="24" t="s">
        <v>32</v>
      </c>
      <c r="H9" s="24" t="s">
        <v>32</v>
      </c>
      <c r="I9" s="24" t="s">
        <v>32</v>
      </c>
      <c r="J9" s="24" t="s">
        <v>32</v>
      </c>
      <c r="K9" s="24" t="s">
        <v>32</v>
      </c>
      <c r="L9" s="24" t="s">
        <v>32</v>
      </c>
      <c r="M9" s="24" t="s">
        <v>32</v>
      </c>
      <c r="N9" s="24" t="s">
        <v>32</v>
      </c>
      <c r="O9" s="24" t="s">
        <v>32</v>
      </c>
    </row>
    <row r="10" spans="1:15" s="17" customFormat="1">
      <c r="A10" s="13" t="s">
        <v>23</v>
      </c>
      <c r="B10" s="14"/>
      <c r="C10" s="15"/>
      <c r="D10" s="16">
        <f t="shared" ref="D10:O10" si="22">D8*D3</f>
        <v>1500</v>
      </c>
      <c r="E10" s="16">
        <f t="shared" si="22"/>
        <v>1500</v>
      </c>
      <c r="F10" s="16">
        <f t="shared" si="22"/>
        <v>1500</v>
      </c>
      <c r="G10" s="16">
        <f t="shared" si="22"/>
        <v>1500</v>
      </c>
      <c r="H10" s="16">
        <f t="shared" si="22"/>
        <v>1500</v>
      </c>
      <c r="I10" s="16">
        <f t="shared" si="22"/>
        <v>1500</v>
      </c>
      <c r="J10" s="16">
        <f t="shared" si="22"/>
        <v>1500</v>
      </c>
      <c r="K10" s="16">
        <f t="shared" si="22"/>
        <v>1500</v>
      </c>
      <c r="L10" s="16">
        <f t="shared" si="22"/>
        <v>1500</v>
      </c>
      <c r="M10" s="16">
        <f t="shared" si="22"/>
        <v>1500</v>
      </c>
      <c r="N10" s="16">
        <f t="shared" si="22"/>
        <v>1500</v>
      </c>
      <c r="O10" s="16">
        <f t="shared" si="22"/>
        <v>1500</v>
      </c>
    </row>
    <row r="13" spans="1:15">
      <c r="A13" s="11" t="s">
        <v>21</v>
      </c>
      <c r="B13" s="9" t="s">
        <v>16</v>
      </c>
      <c r="C13" s="6" t="s">
        <v>0</v>
      </c>
      <c r="D13" s="6" t="s">
        <v>1</v>
      </c>
      <c r="E13" s="6" t="s">
        <v>2</v>
      </c>
      <c r="F13" s="6" t="s">
        <v>3</v>
      </c>
      <c r="G13" s="6" t="s">
        <v>4</v>
      </c>
      <c r="H13" s="6" t="s">
        <v>5</v>
      </c>
      <c r="I13" s="6" t="s">
        <v>6</v>
      </c>
      <c r="J13" s="6" t="s">
        <v>7</v>
      </c>
      <c r="K13" s="6" t="s">
        <v>8</v>
      </c>
      <c r="L13" s="6" t="s">
        <v>9</v>
      </c>
      <c r="M13" s="6" t="s">
        <v>10</v>
      </c>
      <c r="N13" s="6" t="s">
        <v>11</v>
      </c>
      <c r="O13" s="6" t="s">
        <v>12</v>
      </c>
    </row>
    <row r="14" spans="1:15">
      <c r="A14" s="4" t="s">
        <v>28</v>
      </c>
      <c r="B14" s="9" t="s">
        <v>17</v>
      </c>
      <c r="C14" s="6">
        <v>285000</v>
      </c>
    </row>
    <row r="15" spans="1:15">
      <c r="A15" s="4" t="s">
        <v>29</v>
      </c>
    </row>
    <row r="16" spans="1:15">
      <c r="A16" s="4" t="s">
        <v>15</v>
      </c>
      <c r="B16" s="9" t="s">
        <v>18</v>
      </c>
      <c r="D16" s="6">
        <v>7500</v>
      </c>
      <c r="E16" s="6">
        <v>7500</v>
      </c>
      <c r="F16" s="6">
        <v>7500</v>
      </c>
      <c r="G16" s="6">
        <v>7500</v>
      </c>
      <c r="H16" s="6">
        <v>7500</v>
      </c>
      <c r="I16" s="6">
        <v>7500</v>
      </c>
      <c r="J16" s="6">
        <v>7500</v>
      </c>
      <c r="K16" s="6">
        <v>7500</v>
      </c>
      <c r="L16" s="6">
        <v>7500</v>
      </c>
      <c r="M16" s="6">
        <v>7500</v>
      </c>
      <c r="N16" s="6">
        <v>7500</v>
      </c>
      <c r="O16" s="6">
        <v>7500</v>
      </c>
    </row>
    <row r="17" spans="1:15" s="3" customFormat="1">
      <c r="A17" s="18" t="s">
        <v>13</v>
      </c>
      <c r="B17" s="19" t="s">
        <v>19</v>
      </c>
      <c r="C17" s="12"/>
      <c r="D17" s="12">
        <v>0.32</v>
      </c>
      <c r="E17" s="12">
        <v>0.32</v>
      </c>
      <c r="F17" s="12">
        <v>0.32</v>
      </c>
      <c r="G17" s="12">
        <v>0.32</v>
      </c>
      <c r="H17" s="12">
        <v>0.32</v>
      </c>
      <c r="I17" s="12">
        <v>0.32</v>
      </c>
      <c r="J17" s="12">
        <v>0.32</v>
      </c>
      <c r="K17" s="12">
        <v>0.32</v>
      </c>
      <c r="L17" s="12">
        <v>0.32</v>
      </c>
      <c r="M17" s="12">
        <v>0.32</v>
      </c>
      <c r="N17" s="12">
        <v>0.32</v>
      </c>
      <c r="O17" s="12">
        <v>0.32</v>
      </c>
    </row>
    <row r="18" spans="1:15" s="17" customFormat="1">
      <c r="A18" s="13" t="s">
        <v>22</v>
      </c>
      <c r="B18" s="14" t="s">
        <v>17</v>
      </c>
      <c r="C18" s="15"/>
      <c r="D18" s="16">
        <f>D17*D16</f>
        <v>2400</v>
      </c>
      <c r="E18" s="16">
        <f t="shared" ref="E18:O18" si="23">E17*E16</f>
        <v>2400</v>
      </c>
      <c r="F18" s="16">
        <f t="shared" si="23"/>
        <v>2400</v>
      </c>
      <c r="G18" s="16">
        <f t="shared" si="23"/>
        <v>2400</v>
      </c>
      <c r="H18" s="16">
        <f t="shared" si="23"/>
        <v>2400</v>
      </c>
      <c r="I18" s="16">
        <f t="shared" si="23"/>
        <v>2400</v>
      </c>
      <c r="J18" s="16">
        <f t="shared" si="23"/>
        <v>2400</v>
      </c>
      <c r="K18" s="16">
        <f t="shared" si="23"/>
        <v>2400</v>
      </c>
      <c r="L18" s="16">
        <f t="shared" si="23"/>
        <v>2400</v>
      </c>
      <c r="M18" s="16">
        <f t="shared" si="23"/>
        <v>2400</v>
      </c>
      <c r="N18" s="16">
        <f t="shared" si="23"/>
        <v>2400</v>
      </c>
      <c r="O18" s="16">
        <f t="shared" si="23"/>
        <v>2400</v>
      </c>
    </row>
    <row r="19" spans="1:15" s="2" customFormat="1">
      <c r="A19" s="5" t="s">
        <v>14</v>
      </c>
      <c r="B19" s="10" t="s">
        <v>20</v>
      </c>
      <c r="C19" s="7"/>
      <c r="D19" s="8">
        <v>0.3</v>
      </c>
      <c r="E19" s="8">
        <v>0.3</v>
      </c>
      <c r="F19" s="8">
        <v>0.3</v>
      </c>
      <c r="G19" s="8">
        <v>0.3</v>
      </c>
      <c r="H19" s="8">
        <v>0.3</v>
      </c>
      <c r="I19" s="8">
        <v>0.3</v>
      </c>
      <c r="J19" s="8">
        <v>0.3</v>
      </c>
      <c r="K19" s="8">
        <v>0.3</v>
      </c>
      <c r="L19" s="8">
        <v>0.3</v>
      </c>
      <c r="M19" s="8">
        <v>0.3</v>
      </c>
      <c r="N19" s="8">
        <v>0.3</v>
      </c>
      <c r="O19" s="8">
        <v>0.3</v>
      </c>
    </row>
    <row r="20" spans="1:15" s="17" customFormat="1">
      <c r="A20" s="13" t="s">
        <v>24</v>
      </c>
      <c r="B20" s="14" t="s">
        <v>17</v>
      </c>
      <c r="C20" s="15"/>
      <c r="D20" s="21">
        <f>D19*D18</f>
        <v>720</v>
      </c>
      <c r="E20" s="21">
        <f t="shared" ref="E20:O20" si="24">E19*E18</f>
        <v>720</v>
      </c>
      <c r="F20" s="21">
        <f t="shared" si="24"/>
        <v>720</v>
      </c>
      <c r="G20" s="21">
        <f t="shared" si="24"/>
        <v>720</v>
      </c>
      <c r="H20" s="21">
        <f t="shared" si="24"/>
        <v>720</v>
      </c>
      <c r="I20" s="21">
        <f t="shared" si="24"/>
        <v>720</v>
      </c>
      <c r="J20" s="21">
        <f t="shared" si="24"/>
        <v>720</v>
      </c>
      <c r="K20" s="21">
        <f t="shared" si="24"/>
        <v>720</v>
      </c>
      <c r="L20" s="21">
        <f t="shared" si="24"/>
        <v>720</v>
      </c>
      <c r="M20" s="21">
        <f t="shared" si="24"/>
        <v>720</v>
      </c>
      <c r="N20" s="21">
        <f t="shared" si="24"/>
        <v>720</v>
      </c>
      <c r="O20" s="21">
        <f t="shared" si="24"/>
        <v>720</v>
      </c>
    </row>
    <row r="21" spans="1:15" s="20" customFormat="1">
      <c r="A21" s="18" t="s">
        <v>26</v>
      </c>
      <c r="B21" s="19" t="s">
        <v>19</v>
      </c>
      <c r="C21" s="12"/>
      <c r="D21" s="12">
        <v>0.19</v>
      </c>
      <c r="E21" s="12">
        <v>0.19</v>
      </c>
      <c r="F21" s="12">
        <v>0.19</v>
      </c>
      <c r="G21" s="12">
        <v>0.19</v>
      </c>
      <c r="H21" s="12">
        <v>0.19</v>
      </c>
      <c r="I21" s="12">
        <v>0.19</v>
      </c>
      <c r="J21" s="12">
        <v>0.19</v>
      </c>
      <c r="K21" s="12">
        <v>0.19</v>
      </c>
      <c r="L21" s="12">
        <v>0.19</v>
      </c>
      <c r="M21" s="12">
        <v>0.19</v>
      </c>
      <c r="N21" s="12">
        <v>0.19</v>
      </c>
      <c r="O21" s="12">
        <v>0.19</v>
      </c>
    </row>
    <row r="22" spans="1:15" s="20" customFormat="1">
      <c r="A22" s="18" t="s">
        <v>30</v>
      </c>
      <c r="B22" s="19" t="s">
        <v>17</v>
      </c>
      <c r="C22" s="26" t="s">
        <v>31</v>
      </c>
      <c r="D22" s="24" t="s">
        <v>32</v>
      </c>
      <c r="E22" s="24" t="s">
        <v>32</v>
      </c>
      <c r="F22" s="24" t="s">
        <v>32</v>
      </c>
      <c r="G22" s="24" t="s">
        <v>32</v>
      </c>
      <c r="H22" s="24" t="s">
        <v>32</v>
      </c>
      <c r="I22" s="24" t="s">
        <v>32</v>
      </c>
      <c r="J22" s="24" t="s">
        <v>32</v>
      </c>
      <c r="K22" s="24" t="s">
        <v>32</v>
      </c>
      <c r="L22" s="24" t="s">
        <v>32</v>
      </c>
      <c r="M22" s="24" t="s">
        <v>32</v>
      </c>
      <c r="N22" s="24" t="s">
        <v>32</v>
      </c>
      <c r="O22" s="24" t="s">
        <v>32</v>
      </c>
    </row>
    <row r="23" spans="1:15" s="17" customFormat="1">
      <c r="A23" s="13" t="s">
        <v>23</v>
      </c>
      <c r="B23" s="14"/>
      <c r="C23" s="15"/>
      <c r="D23" s="16">
        <f t="shared" ref="D23:O23" si="25">D21*D16</f>
        <v>1425</v>
      </c>
      <c r="E23" s="16">
        <f t="shared" si="25"/>
        <v>1425</v>
      </c>
      <c r="F23" s="16">
        <f t="shared" si="25"/>
        <v>1425</v>
      </c>
      <c r="G23" s="16">
        <f t="shared" si="25"/>
        <v>1425</v>
      </c>
      <c r="H23" s="16">
        <f t="shared" si="25"/>
        <v>1425</v>
      </c>
      <c r="I23" s="16">
        <f t="shared" si="25"/>
        <v>1425</v>
      </c>
      <c r="J23" s="16">
        <f t="shared" si="25"/>
        <v>1425</v>
      </c>
      <c r="K23" s="16">
        <f t="shared" si="25"/>
        <v>1425</v>
      </c>
      <c r="L23" s="16">
        <f t="shared" si="25"/>
        <v>1425</v>
      </c>
      <c r="M23" s="16">
        <f t="shared" si="25"/>
        <v>1425</v>
      </c>
      <c r="N23" s="16">
        <f t="shared" si="25"/>
        <v>1425</v>
      </c>
      <c r="O23" s="16">
        <f t="shared" si="25"/>
        <v>1425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75"/>
  <sheetViews>
    <sheetView workbookViewId="0">
      <selection activeCell="B2" sqref="B2"/>
    </sheetView>
  </sheetViews>
  <sheetFormatPr baseColWidth="10" defaultRowHeight="15" x14ac:dyDescent="0"/>
  <cols>
    <col min="1" max="1" width="40" customWidth="1"/>
    <col min="2" max="2" width="9" customWidth="1"/>
    <col min="3" max="3" width="12.83203125" bestFit="1" customWidth="1"/>
    <col min="4" max="4" width="13.83203125" bestFit="1" customWidth="1"/>
    <col min="5" max="8" width="12.5" customWidth="1"/>
    <col min="9" max="12" width="12" bestFit="1" customWidth="1"/>
    <col min="13" max="13" width="12.83203125" customWidth="1"/>
    <col min="14" max="15" width="12.5" customWidth="1"/>
  </cols>
  <sheetData>
    <row r="1" spans="1:9" ht="20">
      <c r="A1" s="27" t="s">
        <v>21</v>
      </c>
      <c r="B1">
        <v>12</v>
      </c>
    </row>
    <row r="2" spans="1:9" s="29" customFormat="1" ht="14">
      <c r="A2" s="29" t="s">
        <v>33</v>
      </c>
      <c r="B2" s="29">
        <v>60</v>
      </c>
    </row>
    <row r="3" spans="1:9" s="29" customFormat="1" ht="14">
      <c r="A3" s="29" t="s">
        <v>58</v>
      </c>
      <c r="B3" s="4">
        <f>'Costos Unitarios'!D4</f>
        <v>272000</v>
      </c>
      <c r="D3" s="4"/>
      <c r="E3" s="4"/>
      <c r="F3" s="4"/>
      <c r="G3" s="4"/>
      <c r="H3" s="4"/>
      <c r="I3" s="4"/>
    </row>
    <row r="4" spans="1:9" s="29" customFormat="1" ht="14">
      <c r="A4" s="29" t="s">
        <v>146</v>
      </c>
      <c r="B4" s="29">
        <v>10</v>
      </c>
      <c r="D4" s="4">
        <f>90000</f>
        <v>90000</v>
      </c>
      <c r="E4" s="4">
        <v>2.2000000000000002</v>
      </c>
      <c r="F4" s="4"/>
      <c r="G4" s="4"/>
      <c r="H4" s="4"/>
      <c r="I4" s="4"/>
    </row>
    <row r="5" spans="1:9" s="29" customFormat="1" ht="14">
      <c r="A5" s="29" t="s">
        <v>144</v>
      </c>
      <c r="B5" s="172">
        <v>0.06</v>
      </c>
      <c r="D5" s="4"/>
      <c r="E5" s="4">
        <f>D4/E4</f>
        <v>40909.090909090904</v>
      </c>
      <c r="F5" s="4">
        <f>E5*650</f>
        <v>26590909.090909086</v>
      </c>
      <c r="G5" s="4"/>
      <c r="H5" s="4"/>
      <c r="I5" s="4"/>
    </row>
    <row r="6" spans="1:9" s="29" customFormat="1" ht="14">
      <c r="A6" s="29" t="s">
        <v>148</v>
      </c>
      <c r="B6" s="183">
        <v>2000</v>
      </c>
      <c r="D6" s="4"/>
      <c r="E6" s="4"/>
      <c r="F6" s="4">
        <f>F5*5</f>
        <v>132954545.45454544</v>
      </c>
      <c r="G6" s="4">
        <f>F6*1.1</f>
        <v>146250000</v>
      </c>
      <c r="H6" s="4">
        <f>G6/550</f>
        <v>265909.09090909088</v>
      </c>
      <c r="I6" s="4">
        <f>H6*100</f>
        <v>26590909.09090909</v>
      </c>
    </row>
    <row r="7" spans="1:9" s="29" customFormat="1" ht="14">
      <c r="A7" s="29" t="s">
        <v>147</v>
      </c>
      <c r="B7" s="183">
        <v>8</v>
      </c>
      <c r="D7" s="4"/>
      <c r="E7" s="4"/>
      <c r="F7" s="4"/>
      <c r="G7" s="4"/>
      <c r="H7" s="4"/>
      <c r="I7" s="4"/>
    </row>
    <row r="8" spans="1:9" s="29" customFormat="1" ht="14">
      <c r="A8" s="29" t="s">
        <v>128</v>
      </c>
      <c r="B8" s="172">
        <v>0.12</v>
      </c>
      <c r="D8" s="4"/>
      <c r="E8" s="4"/>
      <c r="F8" s="4"/>
      <c r="G8" s="4"/>
      <c r="H8" s="4"/>
      <c r="I8" s="4"/>
    </row>
    <row r="9" spans="1:9" s="29" customFormat="1" ht="14">
      <c r="A9" s="29" t="s">
        <v>159</v>
      </c>
      <c r="B9" s="183">
        <v>270000</v>
      </c>
      <c r="D9" s="4"/>
      <c r="E9" s="4"/>
      <c r="F9" s="4"/>
      <c r="G9" s="4"/>
      <c r="H9" s="4"/>
      <c r="I9" s="4"/>
    </row>
    <row r="10" spans="1:9" s="29" customFormat="1" ht="14"/>
    <row r="11" spans="1:9" s="29" customFormat="1" ht="18">
      <c r="A11" s="189" t="s">
        <v>151</v>
      </c>
    </row>
    <row r="12" spans="1:9" s="4" customFormat="1" ht="14">
      <c r="A12" s="11" t="s">
        <v>21</v>
      </c>
      <c r="B12" s="6" t="s">
        <v>16</v>
      </c>
      <c r="C12" s="6" t="s">
        <v>45</v>
      </c>
      <c r="D12" s="6" t="s">
        <v>46</v>
      </c>
      <c r="E12" s="6" t="s">
        <v>47</v>
      </c>
      <c r="F12" s="6" t="s">
        <v>48</v>
      </c>
      <c r="G12" s="6" t="s">
        <v>49</v>
      </c>
      <c r="H12" s="6" t="s">
        <v>50</v>
      </c>
    </row>
    <row r="13" spans="1:9" s="4" customFormat="1" ht="14">
      <c r="A13" s="4" t="s">
        <v>61</v>
      </c>
      <c r="B13" s="6" t="s">
        <v>17</v>
      </c>
      <c r="C13" s="6">
        <v>0</v>
      </c>
      <c r="D13" s="6"/>
      <c r="E13" s="6"/>
      <c r="F13" s="6"/>
      <c r="G13" s="6"/>
      <c r="H13" s="6"/>
    </row>
    <row r="14" spans="1:9" s="4" customFormat="1" ht="14">
      <c r="A14" s="4" t="s">
        <v>59</v>
      </c>
      <c r="B14" s="6" t="s">
        <v>17</v>
      </c>
      <c r="C14" s="6"/>
      <c r="D14" s="6"/>
      <c r="E14" s="6"/>
      <c r="F14" s="6"/>
      <c r="G14" s="6"/>
      <c r="H14" s="6"/>
    </row>
    <row r="15" spans="1:9" s="4" customFormat="1" ht="14">
      <c r="A15" s="4" t="s">
        <v>60</v>
      </c>
      <c r="B15" s="6" t="s">
        <v>17</v>
      </c>
      <c r="C15" s="6"/>
      <c r="D15" s="6"/>
      <c r="E15" s="6"/>
      <c r="F15" s="6"/>
      <c r="G15" s="6"/>
      <c r="H15" s="6"/>
    </row>
    <row r="16" spans="1:9" s="4" customFormat="1" ht="14">
      <c r="A16" s="166" t="s">
        <v>145</v>
      </c>
      <c r="B16" s="167" t="s">
        <v>17</v>
      </c>
      <c r="C16" s="6"/>
      <c r="D16" s="6">
        <f>+$B$3*$B$5*$B$2</f>
        <v>979200</v>
      </c>
      <c r="E16" s="6">
        <f>+($B$3*$B$2-D21)*$B$5</f>
        <v>652800</v>
      </c>
      <c r="F16" s="6">
        <f>($B$2*$B$3-D21-E21)*$B$5</f>
        <v>326400</v>
      </c>
      <c r="G16" s="6">
        <f>($B$2*$B$3-E21-F21-D21)*$B$5</f>
        <v>0</v>
      </c>
      <c r="H16" s="6">
        <f>($B$2*$B$3-F21-G21-E21-D21)*$B$5</f>
        <v>-326400</v>
      </c>
    </row>
    <row r="17" spans="1:8" s="5" customFormat="1" ht="14">
      <c r="A17" s="166" t="s">
        <v>120</v>
      </c>
      <c r="B17" s="167" t="s">
        <v>17</v>
      </c>
      <c r="C17" s="7"/>
      <c r="D17" s="6">
        <f>'Costos Unitarios'!$D$17*Híbrido!$C$2</f>
        <v>3281250.0000000009</v>
      </c>
      <c r="E17" s="6">
        <f>'Costos Unitarios'!$D$17*Híbrido!$C$2</f>
        <v>3281250.0000000009</v>
      </c>
      <c r="F17" s="6">
        <f>'Costos Unitarios'!$D$17*Híbrido!$C$2</f>
        <v>3281250.0000000009</v>
      </c>
      <c r="G17" s="6">
        <f>'Costos Unitarios'!$D$17*Híbrido!$C$2</f>
        <v>3281250.0000000009</v>
      </c>
      <c r="H17" s="6">
        <f>'Costos Unitarios'!$D$17*Híbrido!$C$2</f>
        <v>3281250.0000000009</v>
      </c>
    </row>
    <row r="18" spans="1:8" s="5" customFormat="1" ht="14">
      <c r="A18" s="166" t="s">
        <v>121</v>
      </c>
      <c r="B18" s="167" t="s">
        <v>17</v>
      </c>
      <c r="C18" s="7"/>
      <c r="D18" s="6">
        <f>'Costos Unitarios'!$D$22*Híbrido!$C$2</f>
        <v>1231650</v>
      </c>
      <c r="E18" s="6">
        <f>'Costos Unitarios'!$D$22*Híbrido!$C$2</f>
        <v>1231650</v>
      </c>
      <c r="F18" s="6">
        <f>'Costos Unitarios'!$D$22*Híbrido!$C$2</f>
        <v>1231650</v>
      </c>
      <c r="G18" s="6">
        <f>'Costos Unitarios'!$D$22*Híbrido!$C$2</f>
        <v>1231650</v>
      </c>
      <c r="H18" s="6">
        <f>'Costos Unitarios'!$D$22*Híbrido!$C$2</f>
        <v>1231650</v>
      </c>
    </row>
    <row r="19" spans="1:8" s="5" customFormat="1" ht="14">
      <c r="A19" s="166" t="s">
        <v>122</v>
      </c>
      <c r="B19" s="167" t="s">
        <v>17</v>
      </c>
      <c r="C19" s="7"/>
      <c r="D19" s="6">
        <f>'Costos Unitarios'!$D$27*Híbrido!$C$2</f>
        <v>157814.453125</v>
      </c>
      <c r="E19" s="6">
        <f>'Costos Unitarios'!$D$27*Híbrido!$C$2</f>
        <v>157814.453125</v>
      </c>
      <c r="F19" s="6">
        <f>'Costos Unitarios'!$D$27*Híbrido!$C$2</f>
        <v>157814.453125</v>
      </c>
      <c r="G19" s="6">
        <f>'Costos Unitarios'!$D$27*Híbrido!$C$2</f>
        <v>157814.453125</v>
      </c>
      <c r="H19" s="6">
        <f>'Costos Unitarios'!$D$27*Híbrido!$C$2</f>
        <v>157814.453125</v>
      </c>
    </row>
    <row r="20" spans="1:8" s="5" customFormat="1" ht="14">
      <c r="A20" s="166" t="s">
        <v>123</v>
      </c>
      <c r="B20" s="167" t="s">
        <v>17</v>
      </c>
      <c r="C20" s="7"/>
      <c r="D20" s="6">
        <f>'Costos Unitarios'!$D$32*Híbrido!$C$2</f>
        <v>1963500</v>
      </c>
      <c r="E20" s="6">
        <f>'Costos Unitarios'!$D$32*Híbrido!$C$2</f>
        <v>1963500</v>
      </c>
      <c r="F20" s="6">
        <f>'Costos Unitarios'!$D$32*Híbrido!$C$2</f>
        <v>1963500</v>
      </c>
      <c r="G20" s="6">
        <f>'Costos Unitarios'!$D$32*Híbrido!$C$2</f>
        <v>1963500</v>
      </c>
      <c r="H20" s="6">
        <f>'Costos Unitarios'!$D$32*Híbrido!$C$2</f>
        <v>1963500</v>
      </c>
    </row>
    <row r="21" spans="1:8" s="18" customFormat="1" ht="14">
      <c r="A21" s="168" t="s">
        <v>124</v>
      </c>
      <c r="B21" s="169" t="s">
        <v>17</v>
      </c>
      <c r="C21" s="7"/>
      <c r="D21" s="24">
        <f>'Costos Unitarios'!$D$36*Híbrido!$C$2</f>
        <v>5440000</v>
      </c>
      <c r="E21" s="24">
        <f>'Costos Unitarios'!$D$36*Híbrido!$C$2</f>
        <v>5440000</v>
      </c>
      <c r="F21" s="24">
        <f>'Costos Unitarios'!$D$36*Híbrido!$C$2</f>
        <v>5440000</v>
      </c>
      <c r="G21" s="24">
        <f>'Costos Unitarios'!$D$36*Híbrido!$C$2</f>
        <v>5440000</v>
      </c>
      <c r="H21" s="24">
        <f>'Costos Unitarios'!$D$36*Híbrido!$C$2</f>
        <v>5440000</v>
      </c>
    </row>
    <row r="22" spans="1:8" s="29" customFormat="1" ht="14">
      <c r="A22" s="166" t="s">
        <v>118</v>
      </c>
      <c r="B22" s="167" t="s">
        <v>17</v>
      </c>
      <c r="D22" s="6">
        <f>$B$6*$B$7*12</f>
        <v>192000</v>
      </c>
      <c r="E22" s="6">
        <f t="shared" ref="E22:H22" si="0">$B$6*$B$7*12</f>
        <v>192000</v>
      </c>
      <c r="F22" s="6">
        <f t="shared" si="0"/>
        <v>192000</v>
      </c>
      <c r="G22" s="6">
        <f t="shared" si="0"/>
        <v>192000</v>
      </c>
      <c r="H22" s="6">
        <f t="shared" si="0"/>
        <v>192000</v>
      </c>
    </row>
    <row r="23" spans="1:8" s="29" customFormat="1" ht="14">
      <c r="A23" s="166" t="s">
        <v>150</v>
      </c>
      <c r="B23" s="167" t="s">
        <v>17</v>
      </c>
      <c r="D23" s="6">
        <f>2000*$B$2*12</f>
        <v>1440000</v>
      </c>
      <c r="E23" s="6">
        <f t="shared" ref="E23:H23" si="1">2000*$B$2*12</f>
        <v>1440000</v>
      </c>
      <c r="F23" s="6">
        <f t="shared" si="1"/>
        <v>1440000</v>
      </c>
      <c r="G23" s="6">
        <f t="shared" si="1"/>
        <v>1440000</v>
      </c>
      <c r="H23" s="6">
        <f t="shared" si="1"/>
        <v>1440000</v>
      </c>
    </row>
    <row r="24" spans="1:8" s="29" customFormat="1" ht="14">
      <c r="A24" s="166" t="s">
        <v>149</v>
      </c>
      <c r="B24" s="167" t="s">
        <v>17</v>
      </c>
      <c r="D24" s="6">
        <f>700*$B$2*12</f>
        <v>504000</v>
      </c>
      <c r="E24" s="6">
        <f t="shared" ref="E24:H24" si="2">700*$B$2*12</f>
        <v>504000</v>
      </c>
      <c r="F24" s="6">
        <f t="shared" si="2"/>
        <v>504000</v>
      </c>
      <c r="G24" s="6">
        <f t="shared" si="2"/>
        <v>504000</v>
      </c>
      <c r="H24" s="6">
        <f t="shared" si="2"/>
        <v>504000</v>
      </c>
    </row>
    <row r="25" spans="1:8" s="187" customFormat="1" ht="14">
      <c r="A25" s="185" t="s">
        <v>127</v>
      </c>
      <c r="B25" s="191" t="s">
        <v>17</v>
      </c>
      <c r="D25" s="188">
        <f>SUM(D13:D24)</f>
        <v>15189414.453125</v>
      </c>
      <c r="E25" s="188">
        <f t="shared" ref="E25:H25" si="3">SUM(E13:E24)</f>
        <v>14863014.453125</v>
      </c>
      <c r="F25" s="188">
        <f t="shared" si="3"/>
        <v>14536614.453125</v>
      </c>
      <c r="G25" s="188">
        <f t="shared" si="3"/>
        <v>14210214.453125</v>
      </c>
      <c r="H25" s="188">
        <f t="shared" si="3"/>
        <v>13883814.453125</v>
      </c>
    </row>
    <row r="26" spans="1:8" s="4" customFormat="1" thickBot="1">
      <c r="A26" s="4" t="s">
        <v>125</v>
      </c>
      <c r="B26" s="6" t="s">
        <v>17</v>
      </c>
      <c r="D26" s="4">
        <f>$B$9*$B$2</f>
        <v>16200000</v>
      </c>
      <c r="E26" s="4">
        <f t="shared" ref="E26:H26" si="4">$B$9*$B$2</f>
        <v>16200000</v>
      </c>
      <c r="F26" s="4">
        <f t="shared" si="4"/>
        <v>16200000</v>
      </c>
      <c r="G26" s="4">
        <f t="shared" si="4"/>
        <v>16200000</v>
      </c>
      <c r="H26" s="4">
        <f t="shared" si="4"/>
        <v>16200000</v>
      </c>
    </row>
    <row r="27" spans="1:8" s="170" customFormat="1" thickBot="1">
      <c r="A27" s="170" t="s">
        <v>126</v>
      </c>
      <c r="B27" s="192" t="s">
        <v>17</v>
      </c>
      <c r="D27" s="171">
        <f>D26-D25</f>
        <v>1010585.546875</v>
      </c>
      <c r="E27" s="171">
        <f t="shared" ref="E27:H27" si="5">E26-E25</f>
        <v>1336985.546875</v>
      </c>
      <c r="F27" s="171">
        <f t="shared" si="5"/>
        <v>1663385.546875</v>
      </c>
      <c r="G27" s="171">
        <f t="shared" si="5"/>
        <v>1989785.546875</v>
      </c>
      <c r="H27" s="171">
        <f t="shared" si="5"/>
        <v>2316185.546875</v>
      </c>
    </row>
    <row r="28" spans="1:8" s="29" customFormat="1" ht="14">
      <c r="C28" s="29">
        <v>0</v>
      </c>
      <c r="D28" s="29">
        <v>1</v>
      </c>
      <c r="E28" s="29">
        <v>2</v>
      </c>
      <c r="F28" s="29">
        <v>3</v>
      </c>
      <c r="G28" s="29">
        <v>4</v>
      </c>
      <c r="H28" s="29">
        <v>5</v>
      </c>
    </row>
    <row r="29" spans="1:8" s="29" customFormat="1" ht="14">
      <c r="D29" s="29">
        <f>(D27)/(1+$B$8)^D28</f>
        <v>902308.52399553568</v>
      </c>
      <c r="E29" s="29">
        <f t="shared" ref="E29:H29" si="6">(E27)/(1+$B$8)^E28</f>
        <v>1065836.6923429526</v>
      </c>
      <c r="F29" s="29">
        <f t="shared" si="6"/>
        <v>1183964.9767639334</v>
      </c>
      <c r="G29" s="29">
        <f t="shared" si="6"/>
        <v>1264544.6871877061</v>
      </c>
      <c r="H29" s="29">
        <f t="shared" si="6"/>
        <v>1314265.8821241455</v>
      </c>
    </row>
    <row r="30" spans="1:8" s="29" customFormat="1" ht="14"/>
    <row r="31" spans="1:8">
      <c r="C31" t="s">
        <v>132</v>
      </c>
      <c r="D31" s="1">
        <f>SUM(D29:H29)-C13</f>
        <v>5730920.7624142738</v>
      </c>
    </row>
    <row r="33" spans="1:13" ht="18">
      <c r="A33" s="189" t="s">
        <v>152</v>
      </c>
    </row>
    <row r="34" spans="1:13" s="4" customFormat="1" ht="14">
      <c r="A34" s="11" t="s">
        <v>21</v>
      </c>
      <c r="B34" s="6" t="s">
        <v>16</v>
      </c>
      <c r="C34" s="6" t="s">
        <v>45</v>
      </c>
      <c r="D34" s="6" t="s">
        <v>46</v>
      </c>
      <c r="E34" s="6" t="s">
        <v>47</v>
      </c>
      <c r="F34" s="6" t="s">
        <v>48</v>
      </c>
      <c r="G34" s="6" t="s">
        <v>49</v>
      </c>
      <c r="H34" s="6" t="s">
        <v>50</v>
      </c>
      <c r="I34" s="6" t="s">
        <v>51</v>
      </c>
      <c r="J34" s="6" t="s">
        <v>52</v>
      </c>
      <c r="K34" s="6" t="s">
        <v>53</v>
      </c>
      <c r="L34" s="6" t="s">
        <v>54</v>
      </c>
      <c r="M34" s="6" t="s">
        <v>55</v>
      </c>
    </row>
    <row r="35" spans="1:13" s="4" customFormat="1" ht="14">
      <c r="A35" s="4" t="s">
        <v>61</v>
      </c>
      <c r="B35" s="6" t="s">
        <v>17</v>
      </c>
      <c r="C35" s="6">
        <v>0</v>
      </c>
      <c r="D35" s="6"/>
      <c r="E35" s="6"/>
      <c r="F35" s="6"/>
      <c r="G35" s="6"/>
      <c r="H35" s="6"/>
      <c r="I35" s="6"/>
      <c r="J35" s="6"/>
      <c r="K35" s="6"/>
      <c r="L35" s="6"/>
      <c r="M35" s="6"/>
    </row>
    <row r="36" spans="1:13" s="4" customFormat="1" ht="14">
      <c r="A36" s="4" t="s">
        <v>59</v>
      </c>
      <c r="B36" s="6" t="s">
        <v>17</v>
      </c>
      <c r="C36" s="6"/>
      <c r="D36" s="6"/>
      <c r="E36" s="6"/>
      <c r="F36" s="6"/>
      <c r="G36" s="6"/>
      <c r="H36" s="6"/>
      <c r="I36" s="6">
        <f>0.2*$B$2*$B$3</f>
        <v>3264000</v>
      </c>
      <c r="J36" s="6"/>
      <c r="K36" s="6"/>
      <c r="L36" s="6"/>
      <c r="M36" s="6"/>
    </row>
    <row r="37" spans="1:13" s="4" customFormat="1" ht="14">
      <c r="A37" s="4" t="s">
        <v>60</v>
      </c>
      <c r="B37" s="6" t="s">
        <v>17</v>
      </c>
      <c r="C37" s="6"/>
      <c r="D37" s="6"/>
      <c r="E37" s="6"/>
      <c r="F37" s="6"/>
      <c r="G37" s="6"/>
      <c r="H37" s="6"/>
      <c r="I37" s="6">
        <f>0.35*$B$2*$B$3</f>
        <v>5712000</v>
      </c>
      <c r="J37" s="6"/>
      <c r="K37" s="6"/>
      <c r="L37" s="6"/>
      <c r="M37" s="6"/>
    </row>
    <row r="38" spans="1:13" s="4" customFormat="1" ht="14">
      <c r="A38" s="166" t="s">
        <v>145</v>
      </c>
      <c r="B38" s="167" t="s">
        <v>17</v>
      </c>
      <c r="C38" s="6"/>
      <c r="D38" s="6">
        <f>D16</f>
        <v>979200</v>
      </c>
      <c r="E38" s="6">
        <f>+(($B$3*$B$2)-D43)*$B$5</f>
        <v>816000</v>
      </c>
      <c r="F38" s="6">
        <f>($B$2*$B$3-D43-E43)*$B$5</f>
        <v>652800</v>
      </c>
      <c r="G38" s="6">
        <f>($B$2*$B$3-E43-F43-D43)*$B$5</f>
        <v>489600</v>
      </c>
      <c r="H38" s="6">
        <f>($B$2*$B$3-F43-G43-E43-D43)*$B$5</f>
        <v>326400</v>
      </c>
      <c r="I38" s="6">
        <f>($B$2*$B$3-G43-H43-F43-E43-D43)*$B$5</f>
        <v>163200</v>
      </c>
      <c r="J38" s="6">
        <f>($B$2*$B$3-H43-I43-G43-F43-E43-D43)*$B$5</f>
        <v>0</v>
      </c>
      <c r="K38" s="6">
        <f>($B$2*$B$3-I43-J43-H43-G43-F43-E43-D43)*$B$5</f>
        <v>-163200</v>
      </c>
      <c r="L38" s="6">
        <f>($B$2*$B$3-J43-K43-I43-H43-G43-F43-E43-D43)*$B$5</f>
        <v>-326400</v>
      </c>
      <c r="M38" s="6">
        <f>($B$2*$B$3-K43-L43-J43-I43-H43-G43-F43-E43-D43)*$B$5</f>
        <v>-489600</v>
      </c>
    </row>
    <row r="39" spans="1:13" s="5" customFormat="1" ht="14">
      <c r="A39" s="166" t="s">
        <v>120</v>
      </c>
      <c r="B39" s="167" t="s">
        <v>17</v>
      </c>
      <c r="C39" s="7"/>
      <c r="D39" s="6">
        <f>'Costos Unitarios'!$D$17*Híbrido!$C$2</f>
        <v>3281250.0000000009</v>
      </c>
      <c r="E39" s="6">
        <f>'Costos Unitarios'!$D$17*Híbrido!$C$2</f>
        <v>3281250.0000000009</v>
      </c>
      <c r="F39" s="6">
        <f>'Costos Unitarios'!$D$17*Híbrido!$C$2</f>
        <v>3281250.0000000009</v>
      </c>
      <c r="G39" s="6">
        <f>'Costos Unitarios'!$D$17*Híbrido!$C$2</f>
        <v>3281250.0000000009</v>
      </c>
      <c r="H39" s="6">
        <f>'Costos Unitarios'!$D$17*Híbrido!$C$2</f>
        <v>3281250.0000000009</v>
      </c>
      <c r="I39" s="6">
        <f>'Costos Unitarios'!$D$17*Híbrido!$C$2</f>
        <v>3281250.0000000009</v>
      </c>
      <c r="J39" s="6">
        <f>'Costos Unitarios'!$D$17*Híbrido!$C$2</f>
        <v>3281250.0000000009</v>
      </c>
      <c r="K39" s="6">
        <f>'Costos Unitarios'!$D$17*Híbrido!$C$2</f>
        <v>3281250.0000000009</v>
      </c>
      <c r="L39" s="6">
        <f>'Costos Unitarios'!$D$17*Híbrido!$C$2</f>
        <v>3281250.0000000009</v>
      </c>
      <c r="M39" s="6">
        <f>'Costos Unitarios'!$D$17*Híbrido!$C$2</f>
        <v>3281250.0000000009</v>
      </c>
    </row>
    <row r="40" spans="1:13" s="5" customFormat="1" ht="14">
      <c r="A40" s="166" t="s">
        <v>121</v>
      </c>
      <c r="B40" s="167" t="s">
        <v>17</v>
      </c>
      <c r="C40" s="7"/>
      <c r="D40" s="6">
        <f>'Costos Unitarios'!$D$22*Híbrido!$C$2</f>
        <v>1231650</v>
      </c>
      <c r="E40" s="6">
        <f>'Costos Unitarios'!$D$22*Híbrido!$C$2</f>
        <v>1231650</v>
      </c>
      <c r="F40" s="6">
        <f>'Costos Unitarios'!$D$22*Híbrido!$C$2</f>
        <v>1231650</v>
      </c>
      <c r="G40" s="6">
        <f>'Costos Unitarios'!$D$22*Híbrido!$C$2</f>
        <v>1231650</v>
      </c>
      <c r="H40" s="6">
        <f>'Costos Unitarios'!$D$22*Híbrido!$C$2</f>
        <v>1231650</v>
      </c>
      <c r="I40" s="6">
        <f>'Costos Unitarios'!$D$22*Híbrido!$C$2</f>
        <v>1231650</v>
      </c>
      <c r="J40" s="6">
        <f>'Costos Unitarios'!$D$22*Híbrido!$C$2</f>
        <v>1231650</v>
      </c>
      <c r="K40" s="6">
        <f>'Costos Unitarios'!$D$22*Híbrido!$C$2</f>
        <v>1231650</v>
      </c>
      <c r="L40" s="6">
        <f>'Costos Unitarios'!$D$22*Híbrido!$C$2</f>
        <v>1231650</v>
      </c>
      <c r="M40" s="6">
        <f>'Costos Unitarios'!$D$22*Híbrido!$C$2</f>
        <v>1231650</v>
      </c>
    </row>
    <row r="41" spans="1:13" s="5" customFormat="1" ht="14">
      <c r="A41" s="166" t="s">
        <v>122</v>
      </c>
      <c r="B41" s="167" t="s">
        <v>17</v>
      </c>
      <c r="C41" s="7"/>
      <c r="D41" s="6">
        <f>'Costos Unitarios'!$D$27*Híbrido!$C$2</f>
        <v>157814.453125</v>
      </c>
      <c r="E41" s="6">
        <f>'Costos Unitarios'!$D$27*Híbrido!$C$2</f>
        <v>157814.453125</v>
      </c>
      <c r="F41" s="6">
        <f>'Costos Unitarios'!$D$27*Híbrido!$C$2</f>
        <v>157814.453125</v>
      </c>
      <c r="G41" s="6">
        <f>'Costos Unitarios'!$D$27*Híbrido!$C$2</f>
        <v>157814.453125</v>
      </c>
      <c r="H41" s="6">
        <f>'Costos Unitarios'!$D$27*Híbrido!$C$2</f>
        <v>157814.453125</v>
      </c>
      <c r="I41" s="6">
        <f>'Costos Unitarios'!$D$27*Híbrido!$C$2</f>
        <v>157814.453125</v>
      </c>
      <c r="J41" s="6">
        <f>'Costos Unitarios'!$D$27*Híbrido!$C$2</f>
        <v>157814.453125</v>
      </c>
      <c r="K41" s="6">
        <f>'Costos Unitarios'!$D$27*Híbrido!$C$2</f>
        <v>157814.453125</v>
      </c>
      <c r="L41" s="6">
        <f>'Costos Unitarios'!$D$27*Híbrido!$C$2</f>
        <v>157814.453125</v>
      </c>
      <c r="M41" s="6">
        <f>'Costos Unitarios'!$D$27*Híbrido!$C$2</f>
        <v>157814.453125</v>
      </c>
    </row>
    <row r="42" spans="1:13" s="5" customFormat="1" ht="14">
      <c r="A42" s="166" t="s">
        <v>123</v>
      </c>
      <c r="B42" s="167" t="s">
        <v>17</v>
      </c>
      <c r="C42" s="7"/>
      <c r="D42" s="6">
        <f>'Costos Unitarios'!$D$32*Híbrido!$C$2</f>
        <v>1963500</v>
      </c>
      <c r="E42" s="6">
        <f>'Costos Unitarios'!$D$32*Híbrido!$C$2</f>
        <v>1963500</v>
      </c>
      <c r="F42" s="6">
        <f>'Costos Unitarios'!$D$32*Híbrido!$C$2</f>
        <v>1963500</v>
      </c>
      <c r="G42" s="6">
        <f>'Costos Unitarios'!$D$32*Híbrido!$C$2</f>
        <v>1963500</v>
      </c>
      <c r="H42" s="6">
        <f>'Costos Unitarios'!$D$32*Híbrido!$C$2</f>
        <v>1963500</v>
      </c>
      <c r="I42" s="6">
        <f>'Costos Unitarios'!$D$32*Híbrido!$C$2</f>
        <v>1963500</v>
      </c>
      <c r="J42" s="6">
        <f>'Costos Unitarios'!$D$32*Híbrido!$C$2</f>
        <v>1963500</v>
      </c>
      <c r="K42" s="6">
        <f>'Costos Unitarios'!$D$32*Híbrido!$C$2</f>
        <v>1963500</v>
      </c>
      <c r="L42" s="6">
        <f>'Costos Unitarios'!$D$32*Híbrido!$C$2</f>
        <v>1963500</v>
      </c>
      <c r="M42" s="6">
        <f>'Costos Unitarios'!$D$32*Híbrido!$C$2</f>
        <v>1963500</v>
      </c>
    </row>
    <row r="43" spans="1:13" s="18" customFormat="1" ht="14">
      <c r="A43" s="168" t="s">
        <v>153</v>
      </c>
      <c r="B43" s="169" t="s">
        <v>17</v>
      </c>
      <c r="C43" s="7"/>
      <c r="D43" s="24">
        <f>'Costos Unitarios'!$D$37*Híbrido!$C$2</f>
        <v>2720000</v>
      </c>
      <c r="E43" s="24">
        <f>'Costos Unitarios'!$D$37*Híbrido!$C$2</f>
        <v>2720000</v>
      </c>
      <c r="F43" s="24">
        <f>'Costos Unitarios'!$D$37*Híbrido!$C$2</f>
        <v>2720000</v>
      </c>
      <c r="G43" s="24">
        <f>'Costos Unitarios'!$D$37*Híbrido!$C$2</f>
        <v>2720000</v>
      </c>
      <c r="H43" s="24">
        <f>'Costos Unitarios'!$D$37*Híbrido!$C$2</f>
        <v>2720000</v>
      </c>
      <c r="I43" s="24">
        <f>'Costos Unitarios'!$D$37*Híbrido!$C$2</f>
        <v>2720000</v>
      </c>
      <c r="J43" s="24">
        <f>'Costos Unitarios'!$D$37*Híbrido!$C$2</f>
        <v>2720000</v>
      </c>
      <c r="K43" s="24">
        <f>'Costos Unitarios'!$D$37*Híbrido!$C$2</f>
        <v>2720000</v>
      </c>
      <c r="L43" s="24">
        <f>'Costos Unitarios'!$D$37*Híbrido!$C$2</f>
        <v>2720000</v>
      </c>
      <c r="M43" s="24">
        <f>'Costos Unitarios'!$D$37*Híbrido!$C$2</f>
        <v>2720000</v>
      </c>
    </row>
    <row r="44" spans="1:13" s="29" customFormat="1" ht="14">
      <c r="A44" s="166" t="s">
        <v>118</v>
      </c>
      <c r="B44" s="167" t="s">
        <v>17</v>
      </c>
      <c r="D44" s="6">
        <f>$B$6*$B$7*12</f>
        <v>192000</v>
      </c>
      <c r="E44" s="6">
        <f t="shared" ref="E44:M44" si="7">$B$6*$B$7*12</f>
        <v>192000</v>
      </c>
      <c r="F44" s="6">
        <f t="shared" si="7"/>
        <v>192000</v>
      </c>
      <c r="G44" s="6">
        <f t="shared" si="7"/>
        <v>192000</v>
      </c>
      <c r="H44" s="6">
        <f t="shared" si="7"/>
        <v>192000</v>
      </c>
      <c r="I44" s="6">
        <f t="shared" si="7"/>
        <v>192000</v>
      </c>
      <c r="J44" s="6">
        <f t="shared" si="7"/>
        <v>192000</v>
      </c>
      <c r="K44" s="6">
        <f t="shared" si="7"/>
        <v>192000</v>
      </c>
      <c r="L44" s="6">
        <f t="shared" si="7"/>
        <v>192000</v>
      </c>
      <c r="M44" s="6">
        <f t="shared" si="7"/>
        <v>192000</v>
      </c>
    </row>
    <row r="45" spans="1:13" s="29" customFormat="1" ht="14">
      <c r="A45" s="166" t="s">
        <v>150</v>
      </c>
      <c r="B45" s="167"/>
      <c r="D45" s="6">
        <f>2000*$B$2*12</f>
        <v>1440000</v>
      </c>
      <c r="E45" s="6">
        <f t="shared" ref="E45:M45" si="8">2000*$B$2*12</f>
        <v>1440000</v>
      </c>
      <c r="F45" s="6">
        <f t="shared" si="8"/>
        <v>1440000</v>
      </c>
      <c r="G45" s="6">
        <f t="shared" si="8"/>
        <v>1440000</v>
      </c>
      <c r="H45" s="6">
        <f t="shared" si="8"/>
        <v>1440000</v>
      </c>
      <c r="I45" s="6">
        <f t="shared" si="8"/>
        <v>1440000</v>
      </c>
      <c r="J45" s="6">
        <f t="shared" si="8"/>
        <v>1440000</v>
      </c>
      <c r="K45" s="6">
        <f t="shared" si="8"/>
        <v>1440000</v>
      </c>
      <c r="L45" s="6">
        <f t="shared" si="8"/>
        <v>1440000</v>
      </c>
      <c r="M45" s="6">
        <f t="shared" si="8"/>
        <v>1440000</v>
      </c>
    </row>
    <row r="46" spans="1:13" s="29" customFormat="1" ht="14">
      <c r="A46" s="166" t="s">
        <v>149</v>
      </c>
      <c r="B46" s="167"/>
      <c r="D46" s="6">
        <f>700*$B$2*12</f>
        <v>504000</v>
      </c>
      <c r="E46" s="6">
        <f t="shared" ref="E46:M46" si="9">700*$B$2*12</f>
        <v>504000</v>
      </c>
      <c r="F46" s="6">
        <f t="shared" si="9"/>
        <v>504000</v>
      </c>
      <c r="G46" s="6">
        <f t="shared" si="9"/>
        <v>504000</v>
      </c>
      <c r="H46" s="6">
        <f t="shared" si="9"/>
        <v>504000</v>
      </c>
      <c r="I46" s="6">
        <f t="shared" si="9"/>
        <v>504000</v>
      </c>
      <c r="J46" s="6">
        <f t="shared" si="9"/>
        <v>504000</v>
      </c>
      <c r="K46" s="6">
        <f t="shared" si="9"/>
        <v>504000</v>
      </c>
      <c r="L46" s="6">
        <f t="shared" si="9"/>
        <v>504000</v>
      </c>
      <c r="M46" s="6">
        <f t="shared" si="9"/>
        <v>504000</v>
      </c>
    </row>
    <row r="47" spans="1:13" s="187" customFormat="1" ht="14">
      <c r="A47" s="184" t="s">
        <v>127</v>
      </c>
      <c r="B47" s="186"/>
      <c r="D47" s="188">
        <f>SUM(D35:D46)</f>
        <v>12469414.453125</v>
      </c>
      <c r="E47" s="188">
        <f t="shared" ref="E47:G47" si="10">SUM(E35:E46)</f>
        <v>12306214.453125</v>
      </c>
      <c r="F47" s="188">
        <f t="shared" si="10"/>
        <v>12143014.453125</v>
      </c>
      <c r="G47" s="188">
        <f t="shared" si="10"/>
        <v>11979814.453125</v>
      </c>
      <c r="H47" s="188">
        <f>SUM(H35:H46)</f>
        <v>11816614.453125</v>
      </c>
      <c r="I47" s="188">
        <f>SUM(I35:I46)</f>
        <v>20629414.453125</v>
      </c>
      <c r="J47" s="188">
        <f>SUM(J35:J46)</f>
        <v>11490214.453125</v>
      </c>
      <c r="K47" s="188">
        <f>SUM(K35:K46)</f>
        <v>11327014.453125</v>
      </c>
      <c r="L47" s="188">
        <f t="shared" ref="L47:M47" si="11">SUM(L35:L46)</f>
        <v>11163814.453125</v>
      </c>
      <c r="M47" s="188">
        <f t="shared" si="11"/>
        <v>11000614.453125</v>
      </c>
    </row>
    <row r="48" spans="1:13" s="4" customFormat="1" thickBot="1">
      <c r="A48" s="4" t="s">
        <v>125</v>
      </c>
      <c r="D48" s="4">
        <f>$B$9*$B$2</f>
        <v>16200000</v>
      </c>
      <c r="E48" s="4">
        <f t="shared" ref="E48:M48" si="12">$B$9*$B$2</f>
        <v>16200000</v>
      </c>
      <c r="F48" s="4">
        <f t="shared" si="12"/>
        <v>16200000</v>
      </c>
      <c r="G48" s="4">
        <f t="shared" si="12"/>
        <v>16200000</v>
      </c>
      <c r="H48" s="4">
        <f t="shared" si="12"/>
        <v>16200000</v>
      </c>
      <c r="I48" s="4">
        <f t="shared" si="12"/>
        <v>16200000</v>
      </c>
      <c r="J48" s="4">
        <f t="shared" si="12"/>
        <v>16200000</v>
      </c>
      <c r="K48" s="4">
        <f t="shared" si="12"/>
        <v>16200000</v>
      </c>
      <c r="L48" s="4">
        <f t="shared" si="12"/>
        <v>16200000</v>
      </c>
      <c r="M48" s="4">
        <f t="shared" si="12"/>
        <v>16200000</v>
      </c>
    </row>
    <row r="49" spans="1:15" s="170" customFormat="1" thickBot="1">
      <c r="A49" s="170" t="s">
        <v>126</v>
      </c>
      <c r="D49" s="171">
        <f>D48-D47</f>
        <v>3730585.546875</v>
      </c>
      <c r="E49" s="171">
        <f t="shared" ref="E49:M49" si="13">E48-E47</f>
        <v>3893785.546875</v>
      </c>
      <c r="F49" s="171">
        <f t="shared" si="13"/>
        <v>4056985.546875</v>
      </c>
      <c r="G49" s="171">
        <f t="shared" si="13"/>
        <v>4220185.546875</v>
      </c>
      <c r="H49" s="171">
        <f t="shared" si="13"/>
        <v>4383385.546875</v>
      </c>
      <c r="I49" s="171">
        <f t="shared" si="13"/>
        <v>-4429414.453125</v>
      </c>
      <c r="J49" s="171">
        <f t="shared" si="13"/>
        <v>4709785.546875</v>
      </c>
      <c r="K49" s="171">
        <f t="shared" si="13"/>
        <v>4872985.546875</v>
      </c>
      <c r="L49" s="171">
        <f t="shared" si="13"/>
        <v>5036185.546875</v>
      </c>
      <c r="M49" s="171">
        <f t="shared" si="13"/>
        <v>5199385.546875</v>
      </c>
    </row>
    <row r="50" spans="1:15" s="29" customFormat="1" ht="14">
      <c r="C50" s="29">
        <v>0</v>
      </c>
      <c r="D50" s="29">
        <v>1</v>
      </c>
      <c r="E50" s="29">
        <v>2</v>
      </c>
      <c r="F50" s="29">
        <v>3</v>
      </c>
      <c r="G50" s="29">
        <v>4</v>
      </c>
      <c r="H50" s="29">
        <v>5</v>
      </c>
      <c r="I50" s="29">
        <v>6</v>
      </c>
      <c r="J50" s="29">
        <v>7</v>
      </c>
      <c r="K50" s="29">
        <v>8</v>
      </c>
      <c r="L50" s="29">
        <v>9</v>
      </c>
      <c r="M50" s="29">
        <v>10</v>
      </c>
    </row>
    <row r="51" spans="1:15" s="29" customFormat="1" ht="14">
      <c r="D51" s="29">
        <f>(D49)/(1+$B$8)^D50</f>
        <v>3330879.9525669641</v>
      </c>
      <c r="E51" s="29">
        <f t="shared" ref="E51:M51" si="14">(E49)/(1+$B$8)^E50</f>
        <v>3104101.9984654011</v>
      </c>
      <c r="F51" s="29">
        <f t="shared" si="14"/>
        <v>2887682.1779301139</v>
      </c>
      <c r="G51" s="29">
        <f t="shared" si="14"/>
        <v>2682004.2092618416</v>
      </c>
      <c r="H51" s="29">
        <f t="shared" si="14"/>
        <v>2487250.678265634</v>
      </c>
      <c r="I51" s="29">
        <f t="shared" si="14"/>
        <v>-2244079.2105457475</v>
      </c>
      <c r="J51" s="29">
        <f t="shared" si="14"/>
        <v>2130467.7965339478</v>
      </c>
      <c r="K51" s="29">
        <f t="shared" si="14"/>
        <v>1968117.1325686863</v>
      </c>
      <c r="L51" s="29">
        <f t="shared" si="14"/>
        <v>1816098.9958704636</v>
      </c>
      <c r="M51" s="29">
        <f t="shared" si="14"/>
        <v>1674062.9928102298</v>
      </c>
    </row>
    <row r="52" spans="1:15" s="29" customFormat="1" ht="14"/>
    <row r="53" spans="1:15">
      <c r="C53" t="s">
        <v>131</v>
      </c>
      <c r="D53" s="1">
        <f>SUM(D51:M51)-C35</f>
        <v>19836586.723727535</v>
      </c>
    </row>
    <row r="55" spans="1:15" ht="18">
      <c r="A55" s="189" t="s">
        <v>154</v>
      </c>
    </row>
    <row r="56" spans="1:15" s="4" customFormat="1" ht="14">
      <c r="A56" s="11" t="s">
        <v>21</v>
      </c>
      <c r="B56" s="6" t="s">
        <v>16</v>
      </c>
      <c r="C56" s="6" t="s">
        <v>45</v>
      </c>
      <c r="D56" s="6" t="s">
        <v>46</v>
      </c>
      <c r="E56" s="6" t="s">
        <v>47</v>
      </c>
      <c r="F56" s="6" t="s">
        <v>48</v>
      </c>
      <c r="G56" s="6" t="s">
        <v>49</v>
      </c>
      <c r="H56" s="6" t="s">
        <v>50</v>
      </c>
      <c r="I56" s="6" t="s">
        <v>51</v>
      </c>
      <c r="J56" s="6" t="s">
        <v>52</v>
      </c>
      <c r="K56" s="6" t="s">
        <v>53</v>
      </c>
      <c r="L56" s="6" t="s">
        <v>54</v>
      </c>
      <c r="M56" s="6" t="s">
        <v>55</v>
      </c>
      <c r="N56" s="6" t="s">
        <v>56</v>
      </c>
      <c r="O56" s="6" t="s">
        <v>57</v>
      </c>
    </row>
    <row r="57" spans="1:15" s="4" customFormat="1" ht="14">
      <c r="A57" s="4" t="s">
        <v>61</v>
      </c>
      <c r="B57" s="6" t="s">
        <v>17</v>
      </c>
      <c r="C57" s="6">
        <v>0</v>
      </c>
      <c r="D57" s="6"/>
      <c r="E57" s="6"/>
      <c r="F57" s="6"/>
      <c r="G57" s="6"/>
      <c r="H57" s="6"/>
      <c r="I57" s="6"/>
      <c r="J57" s="6"/>
      <c r="K57" s="6"/>
      <c r="L57" s="6"/>
      <c r="M57" s="6"/>
    </row>
    <row r="58" spans="1:15" s="4" customFormat="1" ht="14">
      <c r="A58" s="4" t="s">
        <v>59</v>
      </c>
      <c r="B58" s="6" t="s">
        <v>17</v>
      </c>
      <c r="C58" s="6"/>
      <c r="D58" s="6"/>
      <c r="E58" s="6"/>
      <c r="F58" s="6"/>
      <c r="G58" s="6"/>
      <c r="H58" s="6"/>
      <c r="I58" s="6">
        <f>0.2*$B$2*$B$3</f>
        <v>3264000</v>
      </c>
      <c r="J58" s="6"/>
      <c r="K58" s="6"/>
      <c r="L58" s="6"/>
      <c r="M58" s="6"/>
    </row>
    <row r="59" spans="1:15" s="4" customFormat="1" ht="14">
      <c r="A59" s="4" t="s">
        <v>60</v>
      </c>
      <c r="B59" s="6" t="s">
        <v>17</v>
      </c>
      <c r="C59" s="6"/>
      <c r="D59" s="6"/>
      <c r="E59" s="6"/>
      <c r="F59" s="6"/>
      <c r="G59" s="6"/>
      <c r="H59" s="6"/>
      <c r="I59" s="6">
        <f>0.35*$B$2*$B$3</f>
        <v>5712000</v>
      </c>
      <c r="J59" s="6"/>
      <c r="K59" s="6"/>
      <c r="L59" s="6"/>
      <c r="M59" s="6"/>
    </row>
    <row r="60" spans="1:15" s="4" customFormat="1" ht="14">
      <c r="A60" s="166" t="s">
        <v>145</v>
      </c>
      <c r="B60" s="167" t="s">
        <v>17</v>
      </c>
      <c r="C60" s="6"/>
      <c r="D60" s="6">
        <f>D41</f>
        <v>157814.453125</v>
      </c>
      <c r="E60" s="6">
        <f>+(($B$3*$B$2)-D65)*$B$5</f>
        <v>843199.99999999988</v>
      </c>
      <c r="F60" s="6">
        <f>($B$2*$B$3-D65-E65)*$B$5</f>
        <v>707199.99999999977</v>
      </c>
      <c r="G60" s="6">
        <f>($B$2*$B$3-E65-F65-D65)*$B$5</f>
        <v>571199.99999999977</v>
      </c>
      <c r="H60" s="6">
        <f>($B$2*$B$3-F65-G65-E65-D65)*$B$5</f>
        <v>435199.99999999977</v>
      </c>
      <c r="I60" s="6">
        <f>($B$2*$B$3-G65-H65-F65-E65-D65)*$B$5</f>
        <v>299199.99999999971</v>
      </c>
      <c r="J60" s="6">
        <f>($B$2*$B$3-H65-I65-G65-F65-E65-D65)*$B$5</f>
        <v>163199.99999999971</v>
      </c>
      <c r="K60" s="6">
        <f>($B$2*$B$3-I65-J65-H65-G65-F65-E65-D65)*$B$5</f>
        <v>27199.999999999702</v>
      </c>
      <c r="L60" s="6">
        <f>($B$2*$B$3-J65-K65-I65-H65-G65-F65-E65-D65)*$B$5</f>
        <v>-108800.00000000031</v>
      </c>
      <c r="M60" s="6">
        <f>($B$2*$B$3-K65-L65-J65-I65-H65-G65-F65-E65-D65)*$B$5</f>
        <v>-244800.00000000032</v>
      </c>
      <c r="N60" s="6">
        <f>($B$2*$B$3-L65-M65-K65-J65-I65-H65-G65-F65-E65-D65)*$B$5</f>
        <v>-380800.00000000035</v>
      </c>
      <c r="O60" s="6">
        <f>($B$2*$B$3-M65-N65-L65-K65-J65-I65-H65-G65-F65-E65-D65)*$B$5</f>
        <v>-516800.00000000035</v>
      </c>
    </row>
    <row r="61" spans="1:15" s="5" customFormat="1" ht="14">
      <c r="A61" s="166" t="s">
        <v>120</v>
      </c>
      <c r="B61" s="167" t="s">
        <v>17</v>
      </c>
      <c r="C61" s="7"/>
      <c r="D61" s="6">
        <f>'Costos Unitarios'!$D$17*Híbrido!$C$2</f>
        <v>3281250.0000000009</v>
      </c>
      <c r="E61" s="6">
        <f>'Costos Unitarios'!$D$17*Híbrido!$C$2</f>
        <v>3281250.0000000009</v>
      </c>
      <c r="F61" s="6">
        <f>'Costos Unitarios'!$D$17*Híbrido!$C$2</f>
        <v>3281250.0000000009</v>
      </c>
      <c r="G61" s="6">
        <f>'Costos Unitarios'!$D$17*Híbrido!$C$2</f>
        <v>3281250.0000000009</v>
      </c>
      <c r="H61" s="6">
        <f>'Costos Unitarios'!$D$17*Híbrido!$C$2</f>
        <v>3281250.0000000009</v>
      </c>
      <c r="I61" s="6">
        <f>'Costos Unitarios'!$D$17*Híbrido!$C$2</f>
        <v>3281250.0000000009</v>
      </c>
      <c r="J61" s="6">
        <f>'Costos Unitarios'!$D$17*Híbrido!$C$2</f>
        <v>3281250.0000000009</v>
      </c>
      <c r="K61" s="6">
        <f>'Costos Unitarios'!$D$17*Híbrido!$C$2</f>
        <v>3281250.0000000009</v>
      </c>
      <c r="L61" s="6">
        <f>'Costos Unitarios'!$D$17*Híbrido!$C$2</f>
        <v>3281250.0000000009</v>
      </c>
      <c r="M61" s="6">
        <f>'Costos Unitarios'!$D$17*Híbrido!$C$2</f>
        <v>3281250.0000000009</v>
      </c>
      <c r="N61" s="6">
        <f>'Costos Unitarios'!$D$17*Híbrido!$C$2</f>
        <v>3281250.0000000009</v>
      </c>
      <c r="O61" s="6">
        <f>'Costos Unitarios'!$D$17*Híbrido!$C$2</f>
        <v>3281250.0000000009</v>
      </c>
    </row>
    <row r="62" spans="1:15" s="5" customFormat="1" ht="14">
      <c r="A62" s="166" t="s">
        <v>121</v>
      </c>
      <c r="B62" s="167" t="s">
        <v>17</v>
      </c>
      <c r="C62" s="7"/>
      <c r="D62" s="6">
        <f>'Costos Unitarios'!$D$22*Híbrido!$C$2</f>
        <v>1231650</v>
      </c>
      <c r="E62" s="6">
        <f>'Costos Unitarios'!$D$22*Híbrido!$C$2</f>
        <v>1231650</v>
      </c>
      <c r="F62" s="6">
        <f>'Costos Unitarios'!$D$22*Híbrido!$C$2</f>
        <v>1231650</v>
      </c>
      <c r="G62" s="6">
        <f>'Costos Unitarios'!$D$22*Híbrido!$C$2</f>
        <v>1231650</v>
      </c>
      <c r="H62" s="6">
        <f>'Costos Unitarios'!$D$22*Híbrido!$C$2</f>
        <v>1231650</v>
      </c>
      <c r="I62" s="6">
        <f>'Costos Unitarios'!$D$22*Híbrido!$C$2</f>
        <v>1231650</v>
      </c>
      <c r="J62" s="6">
        <f>'Costos Unitarios'!$D$22*Híbrido!$C$2</f>
        <v>1231650</v>
      </c>
      <c r="K62" s="6">
        <f>'Costos Unitarios'!$D$22*Híbrido!$C$2</f>
        <v>1231650</v>
      </c>
      <c r="L62" s="6">
        <f>'Costos Unitarios'!$D$22*Híbrido!$C$2</f>
        <v>1231650</v>
      </c>
      <c r="M62" s="6">
        <f>'Costos Unitarios'!$D$22*Híbrido!$C$2</f>
        <v>1231650</v>
      </c>
      <c r="N62" s="6">
        <f>'Costos Unitarios'!$D$22*Híbrido!$C$2</f>
        <v>1231650</v>
      </c>
      <c r="O62" s="6">
        <f>'Costos Unitarios'!$D$22*Híbrido!$C$2</f>
        <v>1231650</v>
      </c>
    </row>
    <row r="63" spans="1:15" s="5" customFormat="1" ht="14">
      <c r="A63" s="166" t="s">
        <v>122</v>
      </c>
      <c r="B63" s="167" t="s">
        <v>17</v>
      </c>
      <c r="C63" s="7"/>
      <c r="D63" s="6">
        <f>'Costos Unitarios'!$D$27*Híbrido!$C$2</f>
        <v>157814.453125</v>
      </c>
      <c r="E63" s="6">
        <f>'Costos Unitarios'!$D$27*Híbrido!$C$2</f>
        <v>157814.453125</v>
      </c>
      <c r="F63" s="6">
        <f>'Costos Unitarios'!$D$27*Híbrido!$C$2</f>
        <v>157814.453125</v>
      </c>
      <c r="G63" s="6">
        <f>'Costos Unitarios'!$D$27*Híbrido!$C$2</f>
        <v>157814.453125</v>
      </c>
      <c r="H63" s="6">
        <f>'Costos Unitarios'!$D$27*Híbrido!$C$2</f>
        <v>157814.453125</v>
      </c>
      <c r="I63" s="6">
        <f>'Costos Unitarios'!$D$27*Híbrido!$C$2</f>
        <v>157814.453125</v>
      </c>
      <c r="J63" s="6">
        <f>'Costos Unitarios'!$D$27*Híbrido!$C$2</f>
        <v>157814.453125</v>
      </c>
      <c r="K63" s="6">
        <f>'Costos Unitarios'!$D$27*Híbrido!$C$2</f>
        <v>157814.453125</v>
      </c>
      <c r="L63" s="6">
        <f>'Costos Unitarios'!$D$27*Híbrido!$C$2</f>
        <v>157814.453125</v>
      </c>
      <c r="M63" s="6">
        <f>'Costos Unitarios'!$D$27*Híbrido!$C$2</f>
        <v>157814.453125</v>
      </c>
      <c r="N63" s="6">
        <f>'Costos Unitarios'!$D$27*Híbrido!$C$2</f>
        <v>157814.453125</v>
      </c>
      <c r="O63" s="6">
        <f>'Costos Unitarios'!$D$27*Híbrido!$C$2</f>
        <v>157814.453125</v>
      </c>
    </row>
    <row r="64" spans="1:15" s="5" customFormat="1" ht="14">
      <c r="A64" s="166" t="s">
        <v>123</v>
      </c>
      <c r="B64" s="167" t="s">
        <v>17</v>
      </c>
      <c r="C64" s="7"/>
      <c r="D64" s="6">
        <f>'Costos Unitarios'!$D$32*Híbrido!$C$2</f>
        <v>1963500</v>
      </c>
      <c r="E64" s="6">
        <f>'Costos Unitarios'!$D$32*Híbrido!$C$2</f>
        <v>1963500</v>
      </c>
      <c r="F64" s="6">
        <f>'Costos Unitarios'!$D$32*Híbrido!$C$2</f>
        <v>1963500</v>
      </c>
      <c r="G64" s="6">
        <f>'Costos Unitarios'!$D$32*Híbrido!$C$2</f>
        <v>1963500</v>
      </c>
      <c r="H64" s="6">
        <f>'Costos Unitarios'!$D$32*Híbrido!$C$2</f>
        <v>1963500</v>
      </c>
      <c r="I64" s="6">
        <f>'Costos Unitarios'!$D$32*Híbrido!$C$2</f>
        <v>1963500</v>
      </c>
      <c r="J64" s="6">
        <f>'Costos Unitarios'!$D$32*Híbrido!$C$2</f>
        <v>1963500</v>
      </c>
      <c r="K64" s="6">
        <f>'Costos Unitarios'!$D$32*Híbrido!$C$2</f>
        <v>1963500</v>
      </c>
      <c r="L64" s="6">
        <f>'Costos Unitarios'!$D$32*Híbrido!$C$2</f>
        <v>1963500</v>
      </c>
      <c r="M64" s="6">
        <f>'Costos Unitarios'!$D$32*Híbrido!$C$2</f>
        <v>1963500</v>
      </c>
      <c r="N64" s="6">
        <f>'Costos Unitarios'!$D$32*Híbrido!$C$2</f>
        <v>1963500</v>
      </c>
      <c r="O64" s="6">
        <f>'Costos Unitarios'!$D$32*Híbrido!$C$2</f>
        <v>1963500</v>
      </c>
    </row>
    <row r="65" spans="1:15" s="18" customFormat="1" ht="14">
      <c r="A65" s="168" t="s">
        <v>153</v>
      </c>
      <c r="B65" s="169" t="s">
        <v>17</v>
      </c>
      <c r="C65" s="7"/>
      <c r="D65" s="24">
        <f>'Costos Unitarios'!$D$38*Híbrido!$C$2</f>
        <v>2266666.666666667</v>
      </c>
      <c r="E65" s="24">
        <f>'Costos Unitarios'!$D$38*Híbrido!$C$2</f>
        <v>2266666.666666667</v>
      </c>
      <c r="F65" s="24">
        <f>'Costos Unitarios'!$D$38*Híbrido!$C$2</f>
        <v>2266666.666666667</v>
      </c>
      <c r="G65" s="24">
        <f>'Costos Unitarios'!$D$38*Híbrido!$C$2</f>
        <v>2266666.666666667</v>
      </c>
      <c r="H65" s="24">
        <f>'Costos Unitarios'!$D$38*Híbrido!$C$2</f>
        <v>2266666.666666667</v>
      </c>
      <c r="I65" s="24">
        <f>'Costos Unitarios'!$D$38*Híbrido!$C$2</f>
        <v>2266666.666666667</v>
      </c>
      <c r="J65" s="24">
        <f>'Costos Unitarios'!$D$38*Híbrido!$C$2</f>
        <v>2266666.666666667</v>
      </c>
      <c r="K65" s="24">
        <f>'Costos Unitarios'!$D$38*Híbrido!$C$2</f>
        <v>2266666.666666667</v>
      </c>
      <c r="L65" s="24">
        <f>'Costos Unitarios'!$D$38*Híbrido!$C$2</f>
        <v>2266666.666666667</v>
      </c>
      <c r="M65" s="24">
        <f>'Costos Unitarios'!$D$38*Híbrido!$C$2</f>
        <v>2266666.666666667</v>
      </c>
      <c r="N65" s="24">
        <f>'Costos Unitarios'!$D$38*Híbrido!$C$2</f>
        <v>2266666.666666667</v>
      </c>
      <c r="O65" s="24">
        <f>'Costos Unitarios'!$D$38*Híbrido!$C$2</f>
        <v>2266666.666666667</v>
      </c>
    </row>
    <row r="66" spans="1:15" s="29" customFormat="1" ht="14">
      <c r="A66" s="166" t="s">
        <v>118</v>
      </c>
      <c r="B66" s="167" t="s">
        <v>17</v>
      </c>
      <c r="D66" s="6">
        <f>$B$6*$B$7*12</f>
        <v>192000</v>
      </c>
      <c r="E66" s="6">
        <f t="shared" ref="E66:O66" si="15">$B$6*$B$7*12</f>
        <v>192000</v>
      </c>
      <c r="F66" s="6">
        <f t="shared" si="15"/>
        <v>192000</v>
      </c>
      <c r="G66" s="6">
        <f t="shared" si="15"/>
        <v>192000</v>
      </c>
      <c r="H66" s="6">
        <f t="shared" si="15"/>
        <v>192000</v>
      </c>
      <c r="I66" s="6">
        <f t="shared" si="15"/>
        <v>192000</v>
      </c>
      <c r="J66" s="6">
        <f t="shared" si="15"/>
        <v>192000</v>
      </c>
      <c r="K66" s="6">
        <f t="shared" si="15"/>
        <v>192000</v>
      </c>
      <c r="L66" s="6">
        <f t="shared" si="15"/>
        <v>192000</v>
      </c>
      <c r="M66" s="6">
        <f t="shared" si="15"/>
        <v>192000</v>
      </c>
      <c r="N66" s="6">
        <f t="shared" si="15"/>
        <v>192000</v>
      </c>
      <c r="O66" s="6">
        <f t="shared" si="15"/>
        <v>192000</v>
      </c>
    </row>
    <row r="67" spans="1:15" s="29" customFormat="1" ht="14">
      <c r="A67" s="166" t="s">
        <v>150</v>
      </c>
      <c r="B67" s="167"/>
      <c r="D67" s="6">
        <f>2000*$B$2*12</f>
        <v>1440000</v>
      </c>
      <c r="E67" s="6">
        <f t="shared" ref="E67:O67" si="16">2000*$B$2*12</f>
        <v>1440000</v>
      </c>
      <c r="F67" s="6">
        <f t="shared" si="16"/>
        <v>1440000</v>
      </c>
      <c r="G67" s="6">
        <f t="shared" si="16"/>
        <v>1440000</v>
      </c>
      <c r="H67" s="6">
        <f t="shared" si="16"/>
        <v>1440000</v>
      </c>
      <c r="I67" s="6">
        <f t="shared" si="16"/>
        <v>1440000</v>
      </c>
      <c r="J67" s="6">
        <f t="shared" si="16"/>
        <v>1440000</v>
      </c>
      <c r="K67" s="6">
        <f t="shared" si="16"/>
        <v>1440000</v>
      </c>
      <c r="L67" s="6">
        <f t="shared" si="16"/>
        <v>1440000</v>
      </c>
      <c r="M67" s="6">
        <f t="shared" si="16"/>
        <v>1440000</v>
      </c>
      <c r="N67" s="6">
        <f t="shared" si="16"/>
        <v>1440000</v>
      </c>
      <c r="O67" s="6">
        <f t="shared" si="16"/>
        <v>1440000</v>
      </c>
    </row>
    <row r="68" spans="1:15" s="29" customFormat="1" ht="14">
      <c r="A68" s="166" t="s">
        <v>149</v>
      </c>
      <c r="B68" s="167"/>
      <c r="D68" s="6">
        <f>700*$B$2*12</f>
        <v>504000</v>
      </c>
      <c r="E68" s="6">
        <f t="shared" ref="E68:O68" si="17">700*$B$2*12</f>
        <v>504000</v>
      </c>
      <c r="F68" s="6">
        <f t="shared" si="17"/>
        <v>504000</v>
      </c>
      <c r="G68" s="6">
        <f t="shared" si="17"/>
        <v>504000</v>
      </c>
      <c r="H68" s="6">
        <f t="shared" si="17"/>
        <v>504000</v>
      </c>
      <c r="I68" s="6">
        <f t="shared" si="17"/>
        <v>504000</v>
      </c>
      <c r="J68" s="6">
        <f t="shared" si="17"/>
        <v>504000</v>
      </c>
      <c r="K68" s="6">
        <f t="shared" si="17"/>
        <v>504000</v>
      </c>
      <c r="L68" s="6">
        <f t="shared" si="17"/>
        <v>504000</v>
      </c>
      <c r="M68" s="6">
        <f t="shared" si="17"/>
        <v>504000</v>
      </c>
      <c r="N68" s="6">
        <f t="shared" si="17"/>
        <v>504000</v>
      </c>
      <c r="O68" s="6">
        <f t="shared" si="17"/>
        <v>504000</v>
      </c>
    </row>
    <row r="69" spans="1:15" s="187" customFormat="1" ht="14">
      <c r="A69" s="184" t="s">
        <v>127</v>
      </c>
      <c r="B69" s="186"/>
      <c r="D69" s="188">
        <f>SUM(D57:D68)</f>
        <v>11194695.572916668</v>
      </c>
      <c r="E69" s="188">
        <f t="shared" ref="E69:G69" si="18">SUM(E57:E68)</f>
        <v>11880081.119791668</v>
      </c>
      <c r="F69" s="188">
        <f t="shared" si="18"/>
        <v>11744081.119791668</v>
      </c>
      <c r="G69" s="188">
        <f t="shared" si="18"/>
        <v>11608081.119791668</v>
      </c>
      <c r="H69" s="188">
        <f>SUM(H57:H68)</f>
        <v>11472081.119791668</v>
      </c>
      <c r="I69" s="188">
        <f>SUM(I57:I68)</f>
        <v>20312081.119791668</v>
      </c>
      <c r="J69" s="188">
        <f>SUM(J57:J68)</f>
        <v>11200081.119791668</v>
      </c>
      <c r="K69" s="188">
        <f>SUM(K57:K68)</f>
        <v>11064081.119791668</v>
      </c>
      <c r="L69" s="188">
        <f t="shared" ref="L69:O69" si="19">SUM(L57:L68)</f>
        <v>10928081.119791668</v>
      </c>
      <c r="M69" s="188">
        <f t="shared" si="19"/>
        <v>10792081.119791668</v>
      </c>
      <c r="N69" s="188">
        <f t="shared" si="19"/>
        <v>10656081.119791668</v>
      </c>
      <c r="O69" s="188">
        <f t="shared" si="19"/>
        <v>10520081.119791668</v>
      </c>
    </row>
    <row r="70" spans="1:15" s="4" customFormat="1" thickBot="1">
      <c r="A70" s="4" t="s">
        <v>125</v>
      </c>
      <c r="D70" s="4">
        <f>$B$9*$B$2</f>
        <v>16200000</v>
      </c>
      <c r="E70" s="4">
        <f t="shared" ref="E70:O70" si="20">$B$9*$B$2</f>
        <v>16200000</v>
      </c>
      <c r="F70" s="4">
        <f t="shared" si="20"/>
        <v>16200000</v>
      </c>
      <c r="G70" s="4">
        <f t="shared" si="20"/>
        <v>16200000</v>
      </c>
      <c r="H70" s="4">
        <f t="shared" si="20"/>
        <v>16200000</v>
      </c>
      <c r="I70" s="4">
        <f t="shared" si="20"/>
        <v>16200000</v>
      </c>
      <c r="J70" s="4">
        <f t="shared" si="20"/>
        <v>16200000</v>
      </c>
      <c r="K70" s="4">
        <f t="shared" si="20"/>
        <v>16200000</v>
      </c>
      <c r="L70" s="4">
        <f t="shared" si="20"/>
        <v>16200000</v>
      </c>
      <c r="M70" s="4">
        <f t="shared" si="20"/>
        <v>16200000</v>
      </c>
      <c r="N70" s="4">
        <f t="shared" si="20"/>
        <v>16200000</v>
      </c>
      <c r="O70" s="4">
        <f t="shared" si="20"/>
        <v>16200000</v>
      </c>
    </row>
    <row r="71" spans="1:15" s="170" customFormat="1" thickBot="1">
      <c r="A71" s="170" t="s">
        <v>126</v>
      </c>
      <c r="D71" s="171">
        <f>D70-D69</f>
        <v>5005304.4270833321</v>
      </c>
      <c r="E71" s="171">
        <f t="shared" ref="E71:O71" si="21">E70-E69</f>
        <v>4319918.8802083321</v>
      </c>
      <c r="F71" s="171">
        <f t="shared" si="21"/>
        <v>4455918.8802083321</v>
      </c>
      <c r="G71" s="171">
        <f t="shared" si="21"/>
        <v>4591918.8802083321</v>
      </c>
      <c r="H71" s="171">
        <f t="shared" si="21"/>
        <v>4727918.8802083321</v>
      </c>
      <c r="I71" s="171">
        <f t="shared" si="21"/>
        <v>-4112081.1197916679</v>
      </c>
      <c r="J71" s="171">
        <f t="shared" si="21"/>
        <v>4999918.8802083321</v>
      </c>
      <c r="K71" s="171">
        <f t="shared" si="21"/>
        <v>5135918.8802083321</v>
      </c>
      <c r="L71" s="171">
        <f t="shared" si="21"/>
        <v>5271918.8802083321</v>
      </c>
      <c r="M71" s="171">
        <f t="shared" si="21"/>
        <v>5407918.8802083321</v>
      </c>
      <c r="N71" s="171">
        <f t="shared" si="21"/>
        <v>5543918.8802083321</v>
      </c>
      <c r="O71" s="171">
        <f t="shared" si="21"/>
        <v>5679918.8802083321</v>
      </c>
    </row>
    <row r="72" spans="1:15" s="29" customFormat="1" ht="14">
      <c r="C72" s="29">
        <v>0</v>
      </c>
      <c r="D72" s="29">
        <v>1</v>
      </c>
      <c r="E72" s="29">
        <v>2</v>
      </c>
      <c r="F72" s="29">
        <v>3</v>
      </c>
      <c r="G72" s="29">
        <v>4</v>
      </c>
      <c r="H72" s="29">
        <v>5</v>
      </c>
      <c r="I72" s="29">
        <v>6</v>
      </c>
      <c r="J72" s="29">
        <v>7</v>
      </c>
      <c r="K72" s="29">
        <v>8</v>
      </c>
      <c r="L72" s="29">
        <v>9</v>
      </c>
      <c r="M72" s="29">
        <v>10</v>
      </c>
      <c r="N72" s="29">
        <v>11</v>
      </c>
      <c r="O72" s="29">
        <v>12</v>
      </c>
    </row>
    <row r="73" spans="1:15" s="29" customFormat="1" ht="14">
      <c r="D73" s="29">
        <f>(D71)/(1+$B$8)^D72</f>
        <v>4469021.8098958321</v>
      </c>
      <c r="E73" s="29">
        <f t="shared" ref="E73:O73" si="22">(E71)/(1+$B$8)^E72</f>
        <v>3443812.8828191417</v>
      </c>
      <c r="F73" s="29">
        <f t="shared" si="22"/>
        <v>3171635.0447911429</v>
      </c>
      <c r="G73" s="29">
        <f t="shared" si="22"/>
        <v>2918247.4629408633</v>
      </c>
      <c r="H73" s="29">
        <f t="shared" si="22"/>
        <v>2682748.1442892146</v>
      </c>
      <c r="I73" s="29">
        <f t="shared" si="22"/>
        <v>-2083308.268092145</v>
      </c>
      <c r="J73" s="29">
        <f t="shared" si="22"/>
        <v>2261709.382210358</v>
      </c>
      <c r="K73" s="29">
        <f t="shared" si="22"/>
        <v>2074311.4959787279</v>
      </c>
      <c r="L73" s="29">
        <f t="shared" si="22"/>
        <v>1901106.7990927876</v>
      </c>
      <c r="M73" s="29">
        <f t="shared" si="22"/>
        <v>1741205.145080609</v>
      </c>
      <c r="N73" s="29">
        <f t="shared" si="22"/>
        <v>1593744.2011222709</v>
      </c>
      <c r="O73" s="29">
        <f t="shared" si="22"/>
        <v>1457893.7064997435</v>
      </c>
    </row>
    <row r="74" spans="1:15" s="29" customFormat="1" ht="14"/>
    <row r="75" spans="1:15">
      <c r="C75" t="s">
        <v>130</v>
      </c>
      <c r="D75" s="1">
        <f>SUM(D73:M73)-C57</f>
        <v>22580489.899006534</v>
      </c>
    </row>
  </sheetData>
  <pageMargins left="0.75" right="0.75" top="1" bottom="1" header="0.5" footer="0.5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21"/>
  <sheetViews>
    <sheetView workbookViewId="0">
      <selection activeCell="A7" sqref="A7"/>
    </sheetView>
  </sheetViews>
  <sheetFormatPr baseColWidth="10" defaultRowHeight="15" x14ac:dyDescent="0"/>
  <cols>
    <col min="1" max="1" width="15.6640625" bestFit="1" customWidth="1"/>
  </cols>
  <sheetData>
    <row r="2" spans="1:12">
      <c r="A2" s="199" t="s">
        <v>169</v>
      </c>
      <c r="B2" s="199">
        <v>1300</v>
      </c>
      <c r="C2" s="199"/>
      <c r="D2" s="199"/>
      <c r="E2" s="200">
        <v>3</v>
      </c>
      <c r="F2" s="200">
        <v>1300000</v>
      </c>
      <c r="G2" s="200">
        <f>E2*F2</f>
        <v>3900000</v>
      </c>
      <c r="H2" s="200"/>
      <c r="I2" s="200"/>
      <c r="J2" s="199"/>
      <c r="K2" s="199"/>
      <c r="L2" s="199"/>
    </row>
    <row r="3" spans="1:12">
      <c r="A3" s="199" t="s">
        <v>170</v>
      </c>
      <c r="B3" s="199">
        <v>600</v>
      </c>
      <c r="C3" s="199"/>
      <c r="D3" s="199"/>
      <c r="E3" s="200">
        <v>3</v>
      </c>
      <c r="F3" s="200">
        <v>600000</v>
      </c>
      <c r="G3" s="200">
        <f t="shared" ref="G3:G10" si="0">E3*F3</f>
        <v>1800000</v>
      </c>
      <c r="H3" s="200"/>
      <c r="I3" s="200"/>
      <c r="J3" s="199"/>
      <c r="K3" s="199"/>
      <c r="L3" s="199"/>
    </row>
    <row r="4" spans="1:12">
      <c r="A4" s="199" t="s">
        <v>171</v>
      </c>
      <c r="B4" s="199"/>
      <c r="C4" s="199">
        <v>700</v>
      </c>
      <c r="D4" s="199"/>
      <c r="E4" s="200">
        <v>2</v>
      </c>
      <c r="F4" s="200">
        <v>700000</v>
      </c>
      <c r="G4" s="200">
        <f t="shared" si="0"/>
        <v>1400000</v>
      </c>
      <c r="H4" s="200"/>
      <c r="I4" s="200"/>
      <c r="J4" s="199"/>
      <c r="K4" s="199"/>
      <c r="L4" s="199"/>
    </row>
    <row r="5" spans="1:12">
      <c r="A5" s="199" t="s">
        <v>172</v>
      </c>
      <c r="B5" s="199"/>
      <c r="C5" s="199">
        <v>600</v>
      </c>
      <c r="D5" s="199"/>
      <c r="E5" s="200">
        <v>2</v>
      </c>
      <c r="F5" s="200">
        <v>600000</v>
      </c>
      <c r="G5" s="200">
        <f t="shared" si="0"/>
        <v>1200000</v>
      </c>
      <c r="H5" s="200"/>
      <c r="I5" s="200"/>
      <c r="J5" s="199"/>
      <c r="K5" s="199"/>
      <c r="L5" s="199"/>
    </row>
    <row r="6" spans="1:12">
      <c r="A6" s="199" t="s">
        <v>173</v>
      </c>
      <c r="B6" s="199"/>
      <c r="C6" s="199">
        <v>450</v>
      </c>
      <c r="D6" s="199"/>
      <c r="E6" s="200">
        <v>3</v>
      </c>
      <c r="F6" s="200">
        <v>450000</v>
      </c>
      <c r="G6" s="200">
        <f t="shared" si="0"/>
        <v>1350000</v>
      </c>
      <c r="H6" s="200"/>
      <c r="I6" s="200"/>
      <c r="J6" s="199"/>
      <c r="K6" s="199"/>
      <c r="L6" s="199"/>
    </row>
    <row r="7" spans="1:12">
      <c r="A7" s="199" t="s">
        <v>174</v>
      </c>
      <c r="B7" s="199">
        <v>800</v>
      </c>
      <c r="C7" s="199"/>
      <c r="D7" s="199"/>
      <c r="E7" s="200">
        <v>1</v>
      </c>
      <c r="F7" s="200">
        <v>800000</v>
      </c>
      <c r="G7" s="200">
        <f t="shared" si="0"/>
        <v>800000</v>
      </c>
      <c r="H7" s="200"/>
      <c r="I7" s="200"/>
      <c r="J7" s="199"/>
      <c r="K7" s="199"/>
      <c r="L7" s="199"/>
    </row>
    <row r="8" spans="1:12">
      <c r="A8" s="199" t="s">
        <v>175</v>
      </c>
      <c r="B8" s="199">
        <v>500</v>
      </c>
      <c r="C8" s="199"/>
      <c r="D8" s="199"/>
      <c r="E8" s="200">
        <v>8</v>
      </c>
      <c r="F8" s="200">
        <v>500000</v>
      </c>
      <c r="G8" s="200">
        <f t="shared" si="0"/>
        <v>4000000</v>
      </c>
      <c r="H8" s="200"/>
      <c r="I8" s="200"/>
      <c r="J8" s="199"/>
      <c r="K8" s="199"/>
      <c r="L8" s="199"/>
    </row>
    <row r="9" spans="1:12">
      <c r="A9" s="199" t="s">
        <v>176</v>
      </c>
      <c r="B9" s="199">
        <v>-8</v>
      </c>
      <c r="C9" s="199"/>
      <c r="D9" s="199"/>
      <c r="E9" s="200">
        <v>8</v>
      </c>
      <c r="F9" s="200">
        <v>500000</v>
      </c>
      <c r="G9" s="200">
        <f t="shared" si="0"/>
        <v>4000000</v>
      </c>
      <c r="H9" s="200"/>
      <c r="I9" s="200"/>
      <c r="J9" s="199"/>
      <c r="K9" s="199"/>
      <c r="L9" s="199"/>
    </row>
    <row r="10" spans="1:12">
      <c r="A10" s="199" t="s">
        <v>165</v>
      </c>
      <c r="B10" s="199"/>
      <c r="C10" s="199"/>
      <c r="D10" s="199"/>
      <c r="E10" s="200">
        <v>3</v>
      </c>
      <c r="F10" s="200">
        <v>500000</v>
      </c>
      <c r="G10" s="200">
        <f t="shared" si="0"/>
        <v>1500000</v>
      </c>
      <c r="H10" s="200"/>
      <c r="I10" s="200"/>
      <c r="J10" s="199"/>
      <c r="K10" s="199"/>
      <c r="L10" s="199"/>
    </row>
    <row r="11" spans="1:12">
      <c r="A11" s="199"/>
      <c r="B11" s="199"/>
      <c r="C11" s="199"/>
      <c r="D11" s="199"/>
      <c r="E11" s="200"/>
      <c r="F11" s="200"/>
      <c r="G11" s="200">
        <f>SUM(G2:G10)</f>
        <v>19950000</v>
      </c>
      <c r="H11" s="200">
        <f>G11/550</f>
        <v>36272.727272727272</v>
      </c>
      <c r="I11" s="200">
        <f>H11*12</f>
        <v>435272.72727272729</v>
      </c>
      <c r="J11" s="199"/>
      <c r="K11" s="199"/>
      <c r="L11" s="199"/>
    </row>
    <row r="12" spans="1:12">
      <c r="A12" s="199"/>
      <c r="B12" s="199"/>
      <c r="C12" s="199"/>
      <c r="D12" s="199" t="s">
        <v>177</v>
      </c>
      <c r="E12" s="200"/>
      <c r="F12" s="200"/>
      <c r="G12" s="200"/>
      <c r="H12" s="200"/>
      <c r="I12" s="200"/>
      <c r="J12" s="199"/>
      <c r="K12" s="199"/>
      <c r="L12" s="199"/>
    </row>
    <row r="13" spans="1:12">
      <c r="A13" s="199"/>
      <c r="B13" s="199"/>
      <c r="C13" s="199"/>
      <c r="D13" s="199"/>
      <c r="E13" s="199"/>
      <c r="F13" s="199"/>
      <c r="G13" s="199"/>
      <c r="H13" s="199"/>
      <c r="I13" s="199"/>
      <c r="J13" s="199"/>
      <c r="K13" s="199"/>
      <c r="L13" s="199"/>
    </row>
    <row r="14" spans="1:12">
      <c r="A14" s="199"/>
      <c r="B14" s="199"/>
      <c r="C14" s="199"/>
      <c r="D14" s="199"/>
      <c r="E14" s="199"/>
      <c r="F14" s="199"/>
      <c r="G14" s="199"/>
      <c r="H14" s="199"/>
      <c r="I14" s="199">
        <v>500000</v>
      </c>
      <c r="J14" s="199"/>
      <c r="K14" s="199"/>
      <c r="L14" s="199"/>
    </row>
    <row r="15" spans="1:12">
      <c r="A15" s="199"/>
      <c r="B15" s="199"/>
      <c r="C15" s="199"/>
      <c r="D15" s="199"/>
      <c r="E15" s="199"/>
      <c r="F15" s="199"/>
      <c r="G15" s="199"/>
      <c r="H15" s="199"/>
      <c r="I15" s="199">
        <v>909.09090909999998</v>
      </c>
      <c r="J15" s="199"/>
      <c r="K15" s="199"/>
      <c r="L15" s="199"/>
    </row>
    <row r="16" spans="1:12">
      <c r="A16" s="199"/>
      <c r="B16" s="199"/>
      <c r="C16" s="199"/>
      <c r="D16" s="199"/>
      <c r="E16" s="199"/>
      <c r="F16" s="199"/>
      <c r="G16" s="199"/>
      <c r="H16" s="199"/>
      <c r="I16" s="199">
        <v>22727.272730000001</v>
      </c>
      <c r="J16" s="199"/>
      <c r="K16" s="199"/>
      <c r="L16" s="199"/>
    </row>
    <row r="17" spans="1:12">
      <c r="A17" s="199"/>
      <c r="B17" s="199"/>
      <c r="C17" s="199"/>
      <c r="D17" s="199"/>
      <c r="E17" s="199"/>
      <c r="F17" s="199"/>
      <c r="G17" s="199"/>
      <c r="H17" s="199"/>
      <c r="I17" s="199">
        <v>681.81818180000005</v>
      </c>
      <c r="J17" s="199">
        <v>8181.818182</v>
      </c>
      <c r="K17" s="199"/>
      <c r="L17" s="199"/>
    </row>
    <row r="18" spans="1:12">
      <c r="A18" s="199"/>
      <c r="B18" s="199"/>
      <c r="C18" s="199"/>
      <c r="D18" s="199"/>
      <c r="E18" s="199"/>
      <c r="F18" s="199"/>
      <c r="G18" s="199"/>
      <c r="H18" s="199"/>
      <c r="I18" s="199"/>
      <c r="J18" s="199"/>
      <c r="K18" s="199"/>
      <c r="L18" s="199"/>
    </row>
    <row r="19" spans="1:12">
      <c r="A19" s="199"/>
      <c r="B19" s="199"/>
      <c r="C19" s="199"/>
      <c r="D19" s="199"/>
      <c r="E19" s="199"/>
      <c r="F19" s="199"/>
      <c r="G19" s="199"/>
      <c r="H19" s="199"/>
      <c r="I19" s="199"/>
      <c r="J19" s="199"/>
      <c r="K19" s="199"/>
      <c r="L19" s="199"/>
    </row>
    <row r="20" spans="1:12">
      <c r="A20" s="199"/>
      <c r="B20" s="199"/>
      <c r="C20" s="199"/>
      <c r="D20" s="199"/>
      <c r="E20" s="199"/>
      <c r="F20" s="199"/>
      <c r="G20" s="199"/>
      <c r="H20" s="199"/>
      <c r="I20" s="199"/>
      <c r="J20" s="199"/>
      <c r="K20" s="199"/>
      <c r="L20" s="199"/>
    </row>
    <row r="21" spans="1:12">
      <c r="A21" s="199"/>
      <c r="B21" s="199"/>
      <c r="C21" s="199"/>
      <c r="D21" s="199"/>
      <c r="E21" s="199"/>
      <c r="F21" s="199"/>
      <c r="G21" s="199"/>
      <c r="H21" s="199"/>
      <c r="I21" s="199"/>
      <c r="J21" s="199"/>
      <c r="K21" s="199"/>
      <c r="L21" s="199"/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65"/>
  <sheetViews>
    <sheetView workbookViewId="0">
      <selection activeCell="G17" sqref="G17"/>
    </sheetView>
  </sheetViews>
  <sheetFormatPr baseColWidth="10" defaultColWidth="9.1640625" defaultRowHeight="15" x14ac:dyDescent="0"/>
  <cols>
    <col min="1" max="1" width="57.1640625" bestFit="1" customWidth="1"/>
    <col min="2" max="2" width="9.33203125" bestFit="1" customWidth="1"/>
    <col min="3" max="3" width="18.33203125" customWidth="1"/>
    <col min="4" max="4" width="14.5" customWidth="1"/>
    <col min="5" max="5" width="10.33203125" bestFit="1" customWidth="1"/>
    <col min="6" max="6" width="9.5" customWidth="1"/>
    <col min="7" max="7" width="10.83203125" bestFit="1" customWidth="1"/>
    <col min="10" max="10" width="19.5" customWidth="1"/>
  </cols>
  <sheetData>
    <row r="1" spans="1:11" ht="16" thickBot="1">
      <c r="A1" t="s">
        <v>62</v>
      </c>
    </row>
    <row r="2" spans="1:11">
      <c r="A2" s="291" t="s">
        <v>63</v>
      </c>
      <c r="B2" s="292"/>
      <c r="C2" s="295" t="s">
        <v>34</v>
      </c>
      <c r="D2" s="297" t="s">
        <v>35</v>
      </c>
      <c r="E2" s="295" t="s">
        <v>36</v>
      </c>
    </row>
    <row r="3" spans="1:11" ht="36.5" customHeight="1" thickBot="1">
      <c r="A3" s="293"/>
      <c r="B3" s="294"/>
      <c r="C3" s="296"/>
      <c r="D3" s="298"/>
      <c r="E3" s="296"/>
      <c r="F3" s="30"/>
    </row>
    <row r="4" spans="1:11">
      <c r="A4" s="31" t="s">
        <v>37</v>
      </c>
      <c r="B4" s="32" t="s">
        <v>17</v>
      </c>
      <c r="C4" s="33">
        <v>190000</v>
      </c>
      <c r="D4" s="33">
        <v>272000</v>
      </c>
      <c r="E4" s="34">
        <f>D4-C4</f>
        <v>82000</v>
      </c>
      <c r="F4" s="35">
        <f>E4/C4</f>
        <v>0.43157894736842106</v>
      </c>
      <c r="G4" s="36" t="s">
        <v>64</v>
      </c>
    </row>
    <row r="5" spans="1:11">
      <c r="A5" s="130" t="s">
        <v>65</v>
      </c>
      <c r="B5" s="131" t="s">
        <v>39</v>
      </c>
      <c r="C5" s="132">
        <v>7500</v>
      </c>
      <c r="D5" s="132">
        <v>7500</v>
      </c>
      <c r="E5" s="133"/>
      <c r="F5" s="38">
        <f>+D5*12</f>
        <v>90000</v>
      </c>
      <c r="K5">
        <f>300*25</f>
        <v>7500</v>
      </c>
    </row>
    <row r="6" spans="1:11">
      <c r="A6" s="130" t="s">
        <v>38</v>
      </c>
      <c r="B6" s="134" t="s">
        <v>39</v>
      </c>
      <c r="C6" s="128">
        <f>C5*12</f>
        <v>90000</v>
      </c>
      <c r="D6" s="128">
        <f>D5*12</f>
        <v>90000</v>
      </c>
      <c r="E6" s="135"/>
    </row>
    <row r="7" spans="1:11">
      <c r="A7" s="37" t="s">
        <v>40</v>
      </c>
      <c r="B7" s="41" t="s">
        <v>41</v>
      </c>
      <c r="C7" s="139">
        <v>5</v>
      </c>
      <c r="D7" s="139">
        <v>5</v>
      </c>
      <c r="E7" s="140"/>
    </row>
    <row r="8" spans="1:11">
      <c r="A8" s="130" t="s">
        <v>42</v>
      </c>
      <c r="B8" s="134" t="s">
        <v>43</v>
      </c>
      <c r="C8" s="136">
        <v>2.4</v>
      </c>
      <c r="D8" s="129">
        <f>+C8*1.28</f>
        <v>3.0720000000000001</v>
      </c>
      <c r="E8" s="137"/>
    </row>
    <row r="9" spans="1:11">
      <c r="A9" s="130" t="s">
        <v>66</v>
      </c>
      <c r="B9" s="134" t="s">
        <v>67</v>
      </c>
      <c r="C9" s="138">
        <f>1/C8</f>
        <v>0.41666666666666669</v>
      </c>
      <c r="D9" s="138">
        <f>C9*0.7</f>
        <v>0.29166666666666669</v>
      </c>
      <c r="E9" s="137"/>
      <c r="F9" s="42" t="s">
        <v>68</v>
      </c>
      <c r="H9" s="43"/>
    </row>
    <row r="10" spans="1:11">
      <c r="A10" s="44" t="s">
        <v>69</v>
      </c>
      <c r="B10" s="45" t="s">
        <v>44</v>
      </c>
      <c r="C10" s="141">
        <f>600/480</f>
        <v>1.25</v>
      </c>
      <c r="D10" s="141">
        <f>600/480</f>
        <v>1.25</v>
      </c>
      <c r="E10" s="46"/>
      <c r="G10">
        <v>1.25</v>
      </c>
      <c r="H10">
        <v>550</v>
      </c>
      <c r="I10">
        <f>+G10*H10</f>
        <v>687.5</v>
      </c>
      <c r="J10">
        <v>600</v>
      </c>
    </row>
    <row r="11" spans="1:11" ht="16" thickBot="1">
      <c r="A11" s="47" t="s">
        <v>70</v>
      </c>
      <c r="B11" s="48" t="s">
        <v>44</v>
      </c>
      <c r="C11" s="49">
        <f>485/480*1.19</f>
        <v>1.2023958333333333</v>
      </c>
      <c r="D11" s="49">
        <f>485/480*1.19</f>
        <v>1.2023958333333333</v>
      </c>
      <c r="E11" s="50"/>
    </row>
    <row r="12" spans="1:11" ht="16" thickBot="1">
      <c r="A12" s="28"/>
      <c r="B12" s="51"/>
      <c r="C12" s="52"/>
      <c r="D12" s="52"/>
      <c r="E12" s="53"/>
      <c r="G12" s="54"/>
    </row>
    <row r="13" spans="1:11">
      <c r="A13" s="55" t="s">
        <v>71</v>
      </c>
      <c r="B13" s="56"/>
      <c r="C13" s="57"/>
      <c r="D13" s="57"/>
      <c r="E13" s="58"/>
      <c r="J13" s="38">
        <v>1200000</v>
      </c>
      <c r="K13">
        <f>+J13/10/300</f>
        <v>400</v>
      </c>
    </row>
    <row r="14" spans="1:11">
      <c r="A14" s="59" t="s">
        <v>72</v>
      </c>
      <c r="B14" s="60" t="s">
        <v>73</v>
      </c>
      <c r="C14" s="61">
        <f>C9*C10</f>
        <v>0.52083333333333337</v>
      </c>
      <c r="D14" s="61">
        <f>D9*D10</f>
        <v>0.36458333333333337</v>
      </c>
      <c r="E14" s="62"/>
      <c r="G14" s="63"/>
    </row>
    <row r="15" spans="1:11">
      <c r="A15" s="59" t="s">
        <v>74</v>
      </c>
      <c r="B15" s="60" t="s">
        <v>19</v>
      </c>
      <c r="C15" s="61"/>
      <c r="D15" s="64">
        <f>D14-C14</f>
        <v>-0.15625</v>
      </c>
      <c r="E15" s="62"/>
    </row>
    <row r="16" spans="1:11" ht="16" thickBot="1">
      <c r="A16" s="142" t="s">
        <v>75</v>
      </c>
      <c r="B16" s="143" t="s">
        <v>17</v>
      </c>
      <c r="C16" s="145">
        <f>C14*C5</f>
        <v>3906.2500000000005</v>
      </c>
      <c r="D16" s="145">
        <f>D14*D5</f>
        <v>2734.3750000000005</v>
      </c>
      <c r="E16" s="150">
        <f>D16-C16</f>
        <v>-1171.875</v>
      </c>
      <c r="G16" s="67"/>
    </row>
    <row r="17" spans="1:9" ht="16" thickBot="1">
      <c r="A17" s="65" t="s">
        <v>110</v>
      </c>
      <c r="B17" s="66" t="s">
        <v>17</v>
      </c>
      <c r="C17" s="148">
        <f>C16*12</f>
        <v>46875.000000000007</v>
      </c>
      <c r="D17" s="148">
        <f>D16*12</f>
        <v>32812.500000000007</v>
      </c>
      <c r="E17" s="151"/>
      <c r="G17" s="67"/>
    </row>
    <row r="18" spans="1:9" ht="16" thickBot="1">
      <c r="A18" s="28"/>
      <c r="B18" s="51"/>
      <c r="C18" s="68"/>
      <c r="D18" s="52"/>
      <c r="E18" s="69"/>
    </row>
    <row r="19" spans="1:9">
      <c r="A19" s="55" t="s">
        <v>76</v>
      </c>
      <c r="B19" s="56"/>
      <c r="C19" s="57"/>
      <c r="D19" s="70"/>
      <c r="E19" s="71"/>
    </row>
    <row r="20" spans="1:9">
      <c r="A20" s="72" t="s">
        <v>77</v>
      </c>
      <c r="B20" s="39" t="s">
        <v>19</v>
      </c>
      <c r="C20" s="73"/>
      <c r="D20" s="74">
        <f>0.115*1.19</f>
        <v>0.13685</v>
      </c>
      <c r="E20" s="40"/>
    </row>
    <row r="21" spans="1:9" ht="16" thickBot="1">
      <c r="A21" s="142" t="s">
        <v>78</v>
      </c>
      <c r="B21" s="143" t="s">
        <v>17</v>
      </c>
      <c r="C21" s="144"/>
      <c r="D21" s="145">
        <f>D20*D5</f>
        <v>1026.375</v>
      </c>
      <c r="E21" s="146">
        <f>D21-C21</f>
        <v>1026.375</v>
      </c>
    </row>
    <row r="22" spans="1:9" ht="16" thickBot="1">
      <c r="A22" s="65" t="s">
        <v>111</v>
      </c>
      <c r="B22" s="66" t="s">
        <v>17</v>
      </c>
      <c r="C22" s="147"/>
      <c r="D22" s="148">
        <f>D21*12</f>
        <v>12316.5</v>
      </c>
      <c r="E22" s="149"/>
    </row>
    <row r="23" spans="1:9" ht="16" thickBot="1">
      <c r="A23" s="75"/>
      <c r="B23" s="76"/>
      <c r="C23" s="77"/>
      <c r="D23" s="78"/>
      <c r="E23" s="79"/>
    </row>
    <row r="24" spans="1:9">
      <c r="A24" s="55" t="s">
        <v>79</v>
      </c>
      <c r="B24" s="80"/>
      <c r="C24" s="81"/>
      <c r="D24" s="82"/>
      <c r="E24" s="83"/>
    </row>
    <row r="25" spans="1:9">
      <c r="A25" s="59" t="s">
        <v>80</v>
      </c>
      <c r="B25" s="84" t="s">
        <v>73</v>
      </c>
      <c r="C25" s="85">
        <f>(C9*5%)*C11</f>
        <v>2.5049913194444447E-2</v>
      </c>
      <c r="D25" s="85">
        <f>(D9*5%)*D11</f>
        <v>1.7534939236111113E-2</v>
      </c>
      <c r="E25" s="86">
        <f>D25-C25</f>
        <v>-7.514973958333334E-3</v>
      </c>
    </row>
    <row r="26" spans="1:9" ht="16" thickBot="1">
      <c r="A26" s="142" t="s">
        <v>81</v>
      </c>
      <c r="B26" s="143" t="s">
        <v>17</v>
      </c>
      <c r="C26" s="145">
        <f>C25*C5</f>
        <v>187.87434895833334</v>
      </c>
      <c r="D26" s="145">
        <f>D25*D5</f>
        <v>131.51204427083334</v>
      </c>
      <c r="E26" s="150">
        <f>D26-C26</f>
        <v>-56.3623046875</v>
      </c>
    </row>
    <row r="27" spans="1:9" ht="16" thickBot="1">
      <c r="A27" s="65" t="s">
        <v>112</v>
      </c>
      <c r="B27" s="66" t="s">
        <v>17</v>
      </c>
      <c r="C27" s="148">
        <f>C26*12</f>
        <v>2254.4921875</v>
      </c>
      <c r="D27" s="148">
        <f>D26*12</f>
        <v>1578.14453125</v>
      </c>
      <c r="E27" s="151"/>
      <c r="I27" s="67">
        <f>D4/12/5</f>
        <v>4533.3333333333339</v>
      </c>
    </row>
    <row r="28" spans="1:9" ht="16" thickBot="1">
      <c r="A28" s="75"/>
      <c r="B28" s="76"/>
      <c r="C28" s="77"/>
      <c r="D28" s="78"/>
      <c r="E28" s="79"/>
    </row>
    <row r="29" spans="1:9">
      <c r="A29" s="55" t="s">
        <v>82</v>
      </c>
      <c r="B29" s="80"/>
      <c r="C29" s="81"/>
      <c r="D29" s="82"/>
      <c r="E29" s="83"/>
    </row>
    <row r="30" spans="1:9">
      <c r="A30" s="59" t="s">
        <v>83</v>
      </c>
      <c r="B30" s="84" t="s">
        <v>73</v>
      </c>
      <c r="C30" s="85">
        <f>(93*1.19)/480</f>
        <v>0.2305625</v>
      </c>
      <c r="D30" s="85">
        <f>(88*1.19)/480</f>
        <v>0.21816666666666668</v>
      </c>
      <c r="E30" s="86">
        <f>D30-C30</f>
        <v>-1.2395833333333328E-2</v>
      </c>
    </row>
    <row r="31" spans="1:9" ht="16" thickBot="1">
      <c r="A31" s="65" t="s">
        <v>84</v>
      </c>
      <c r="B31" s="66" t="s">
        <v>17</v>
      </c>
      <c r="C31" s="152">
        <f>C30*C5</f>
        <v>1729.21875</v>
      </c>
      <c r="D31" s="152">
        <f>D30*D5</f>
        <v>1636.25</v>
      </c>
      <c r="E31" s="153">
        <f>D31-C31</f>
        <v>-92.96875</v>
      </c>
    </row>
    <row r="32" spans="1:9" ht="16" thickBot="1">
      <c r="A32" s="65" t="s">
        <v>113</v>
      </c>
      <c r="B32" s="66" t="s">
        <v>17</v>
      </c>
      <c r="C32" s="148">
        <f>C31*12</f>
        <v>20750.625</v>
      </c>
      <c r="D32" s="148">
        <f>D31*12</f>
        <v>19635</v>
      </c>
      <c r="E32" s="151"/>
    </row>
    <row r="33" spans="1:7">
      <c r="A33" s="75"/>
      <c r="B33" s="76"/>
      <c r="C33" s="77"/>
      <c r="D33" s="78"/>
      <c r="E33" s="79"/>
    </row>
    <row r="34" spans="1:7" ht="16" thickBot="1">
      <c r="A34" s="75"/>
      <c r="B34" s="76"/>
      <c r="C34" s="77"/>
      <c r="D34" s="78"/>
      <c r="E34" s="79"/>
      <c r="G34" s="67"/>
    </row>
    <row r="35" spans="1:7" ht="16" thickBot="1">
      <c r="A35" s="154" t="s">
        <v>114</v>
      </c>
      <c r="B35" s="155" t="s">
        <v>17</v>
      </c>
      <c r="C35" s="158">
        <f>C4/5/12</f>
        <v>3166.6666666666665</v>
      </c>
      <c r="D35" s="159">
        <f>D4/5/12</f>
        <v>4533.333333333333</v>
      </c>
      <c r="E35" s="156">
        <f>D35-C35</f>
        <v>1366.6666666666665</v>
      </c>
      <c r="F35" s="36" t="s">
        <v>85</v>
      </c>
      <c r="G35">
        <v>3146</v>
      </c>
    </row>
    <row r="36" spans="1:7" ht="16" thickBot="1">
      <c r="A36" s="154" t="s">
        <v>184</v>
      </c>
      <c r="B36" s="202"/>
      <c r="C36" s="160">
        <f>C4/10/12</f>
        <v>1583.3333333333333</v>
      </c>
      <c r="D36" s="160">
        <f>D4/10/12</f>
        <v>2266.6666666666665</v>
      </c>
      <c r="E36" s="157">
        <f>D36-C36</f>
        <v>683.33333333333326</v>
      </c>
      <c r="F36" s="36"/>
    </row>
    <row r="37" spans="1:7" ht="16" thickBot="1">
      <c r="A37" s="154" t="s">
        <v>185</v>
      </c>
      <c r="B37" s="202"/>
      <c r="C37" s="160">
        <f>C4/12/12</f>
        <v>1319.4444444444446</v>
      </c>
      <c r="D37" s="160">
        <f>D4/12/12</f>
        <v>1888.8888888888889</v>
      </c>
      <c r="E37" s="157">
        <f>D37-C37</f>
        <v>569.44444444444434</v>
      </c>
      <c r="F37" s="36"/>
    </row>
    <row r="38" spans="1:7" ht="16" thickBot="1">
      <c r="A38" s="201" t="s">
        <v>156</v>
      </c>
      <c r="B38" s="202" t="s">
        <v>17</v>
      </c>
      <c r="C38" s="160">
        <f>C35*12</f>
        <v>38000</v>
      </c>
      <c r="D38" s="160">
        <f>D35*12</f>
        <v>54400</v>
      </c>
      <c r="E38" s="157"/>
      <c r="F38" s="190"/>
      <c r="G38" s="67"/>
    </row>
    <row r="39" spans="1:7" ht="16" thickBot="1">
      <c r="A39" s="154" t="s">
        <v>157</v>
      </c>
      <c r="B39" s="155" t="s">
        <v>17</v>
      </c>
      <c r="C39" s="160">
        <f>C4/10</f>
        <v>19000</v>
      </c>
      <c r="D39" s="160">
        <f>D4/10</f>
        <v>27200</v>
      </c>
      <c r="E39" s="157"/>
      <c r="F39" s="36"/>
      <c r="G39" s="67"/>
    </row>
    <row r="40" spans="1:7" ht="16" thickBot="1">
      <c r="A40" s="154" t="s">
        <v>158</v>
      </c>
      <c r="B40" s="155" t="s">
        <v>17</v>
      </c>
      <c r="C40" s="160">
        <f>C4/12</f>
        <v>15833.333333333334</v>
      </c>
      <c r="D40" s="160">
        <f>D4/12</f>
        <v>22666.666666666668</v>
      </c>
      <c r="E40" s="157"/>
      <c r="F40" s="36"/>
      <c r="G40" s="67"/>
    </row>
    <row r="41" spans="1:7" ht="16" thickBot="1">
      <c r="A41" s="75"/>
      <c r="B41" s="76"/>
      <c r="C41" s="77"/>
      <c r="D41" s="78"/>
      <c r="E41" s="79"/>
    </row>
    <row r="42" spans="1:7" ht="16" thickBot="1">
      <c r="A42" s="87" t="s">
        <v>186</v>
      </c>
      <c r="B42" s="88" t="s">
        <v>17</v>
      </c>
      <c r="C42" s="161">
        <f>$C$35+$C$31+$C$26+$C$21+$C$16</f>
        <v>8990.009765625</v>
      </c>
      <c r="D42" s="161">
        <f>$D$35+$D$31+$D$26+$D$21+$D$16</f>
        <v>10061.845377604166</v>
      </c>
      <c r="E42" s="164">
        <f>D42-C42</f>
        <v>1071.8356119791661</v>
      </c>
      <c r="G42" s="89">
        <f>E42/C42</f>
        <v>0.11922518883989781</v>
      </c>
    </row>
    <row r="43" spans="1:7" ht="16" thickBot="1">
      <c r="A43" s="87" t="s">
        <v>187</v>
      </c>
      <c r="B43" s="88"/>
      <c r="C43" s="161">
        <f>$C$36+$C$31+$C$26+$C$21+$C$16</f>
        <v>7406.676432291667</v>
      </c>
      <c r="D43" s="161">
        <f>$D$36+$D$31+$D$26+$D$21+$D$16</f>
        <v>7795.1787109375</v>
      </c>
      <c r="E43" s="210">
        <f>D43-C43</f>
        <v>388.50227864583303</v>
      </c>
      <c r="G43" s="89"/>
    </row>
    <row r="44" spans="1:7" ht="16" thickBot="1">
      <c r="A44" s="87" t="s">
        <v>188</v>
      </c>
      <c r="B44" s="88"/>
      <c r="C44" s="161">
        <f>$C$37+$C$31+$C$26+$C$21+$C$16</f>
        <v>7142.7875434027783</v>
      </c>
      <c r="D44" s="161">
        <f>$D$37+$D$31+$D$26+$D$21+$D$16</f>
        <v>7417.4009331597226</v>
      </c>
      <c r="E44" s="210">
        <f>D44-C44</f>
        <v>274.61338975694434</v>
      </c>
      <c r="G44" s="89"/>
    </row>
    <row r="45" spans="1:7" ht="16" thickBot="1">
      <c r="A45" s="75"/>
      <c r="B45" s="76"/>
      <c r="C45" s="78"/>
      <c r="D45" s="78"/>
      <c r="E45" s="90"/>
      <c r="G45" s="91"/>
    </row>
    <row r="46" spans="1:7">
      <c r="A46" s="55" t="s">
        <v>115</v>
      </c>
      <c r="B46" s="80"/>
      <c r="C46" s="81"/>
      <c r="D46" s="82"/>
      <c r="E46" s="83"/>
    </row>
    <row r="47" spans="1:7">
      <c r="A47" s="59" t="s">
        <v>116</v>
      </c>
      <c r="B47" s="84"/>
      <c r="C47" s="85"/>
      <c r="D47" s="85"/>
      <c r="E47" s="86"/>
    </row>
    <row r="48" spans="1:7" ht="16" thickBot="1">
      <c r="A48" s="65" t="s">
        <v>117</v>
      </c>
      <c r="B48" s="66" t="s">
        <v>17</v>
      </c>
      <c r="C48" s="152"/>
      <c r="D48" s="152"/>
      <c r="E48" s="153"/>
    </row>
    <row r="49" spans="1:11" ht="16" thickBot="1">
      <c r="A49" s="65" t="s">
        <v>118</v>
      </c>
      <c r="B49" s="66" t="s">
        <v>17</v>
      </c>
      <c r="C49" s="148"/>
      <c r="D49" s="148"/>
      <c r="E49" s="151"/>
    </row>
    <row r="50" spans="1:11">
      <c r="A50" s="75"/>
      <c r="B50" s="76"/>
      <c r="C50" s="78"/>
      <c r="D50" s="78"/>
      <c r="E50" s="90"/>
      <c r="G50" s="91"/>
    </row>
    <row r="51" spans="1:11">
      <c r="A51" s="75"/>
      <c r="B51" s="76"/>
      <c r="C51" s="78"/>
      <c r="D51" s="78"/>
      <c r="E51" s="90"/>
      <c r="G51" s="91"/>
      <c r="J51" s="92"/>
    </row>
    <row r="52" spans="1:11" ht="16" thickBot="1">
      <c r="A52" s="93" t="s">
        <v>88</v>
      </c>
      <c r="B52" s="76"/>
      <c r="C52" s="77"/>
      <c r="D52" s="77"/>
      <c r="E52" s="79"/>
      <c r="J52" s="92" t="s">
        <v>87</v>
      </c>
    </row>
    <row r="53" spans="1:11" ht="16" thickBot="1">
      <c r="A53" t="s">
        <v>89</v>
      </c>
      <c r="B53" s="165">
        <v>1100</v>
      </c>
      <c r="C53" t="s">
        <v>17</v>
      </c>
      <c r="D53" s="211">
        <f>+B53*480/7500</f>
        <v>70.400000000000006</v>
      </c>
      <c r="J53" s="95" t="s">
        <v>90</v>
      </c>
      <c r="K53" s="96">
        <v>382.58</v>
      </c>
    </row>
    <row r="54" spans="1:11" ht="16" thickBot="1">
      <c r="A54" t="s">
        <v>91</v>
      </c>
      <c r="B54">
        <v>360.04</v>
      </c>
      <c r="C54" s="97" t="s">
        <v>92</v>
      </c>
      <c r="D54" s="212"/>
      <c r="J54" s="98" t="s">
        <v>93</v>
      </c>
      <c r="K54" s="99">
        <v>382.07</v>
      </c>
    </row>
    <row r="55" spans="1:11" ht="16" thickBot="1">
      <c r="A55" t="s">
        <v>94</v>
      </c>
      <c r="B55" s="214">
        <v>3939</v>
      </c>
      <c r="C55" s="97" t="s">
        <v>95</v>
      </c>
      <c r="D55" s="213">
        <f>+D53/B55</f>
        <v>1.7872556486417873E-2</v>
      </c>
      <c r="J55" s="98" t="s">
        <v>96</v>
      </c>
      <c r="K55" s="99">
        <v>383.1</v>
      </c>
    </row>
    <row r="56" spans="1:11" ht="16" thickBot="1">
      <c r="J56" s="98" t="s">
        <v>97</v>
      </c>
      <c r="K56" s="99">
        <v>382.49</v>
      </c>
    </row>
    <row r="57" spans="1:11" ht="16" thickBot="1">
      <c r="A57" s="101"/>
      <c r="B57" s="102" t="s">
        <v>98</v>
      </c>
      <c r="C57" s="103" t="s">
        <v>98</v>
      </c>
      <c r="D57" s="102" t="s">
        <v>98</v>
      </c>
      <c r="E57" s="103" t="s">
        <v>98</v>
      </c>
      <c r="F57" s="102" t="s">
        <v>98</v>
      </c>
      <c r="G57" s="104" t="s">
        <v>98</v>
      </c>
      <c r="J57" s="98" t="s">
        <v>99</v>
      </c>
      <c r="K57" s="99">
        <v>382.63</v>
      </c>
    </row>
    <row r="58" spans="1:11" ht="16" thickBot="1">
      <c r="A58" s="105" t="s">
        <v>100</v>
      </c>
      <c r="B58" s="106">
        <v>0.1</v>
      </c>
      <c r="C58" s="107">
        <v>0.12</v>
      </c>
      <c r="D58" s="108">
        <v>0.14000000000000001</v>
      </c>
      <c r="E58" s="107">
        <v>0.16</v>
      </c>
      <c r="F58" s="108">
        <v>0.18</v>
      </c>
      <c r="G58" s="109">
        <v>0.2</v>
      </c>
      <c r="J58" s="98" t="s">
        <v>101</v>
      </c>
      <c r="K58" s="99">
        <v>383.86</v>
      </c>
    </row>
    <row r="59" spans="1:11" ht="17" thickTop="1" thickBot="1">
      <c r="A59" s="110" t="s">
        <v>102</v>
      </c>
      <c r="B59" s="111">
        <f>+B55*0.1</f>
        <v>393.90000000000003</v>
      </c>
      <c r="C59" s="112">
        <f>$B$55+($B$55*C58)</f>
        <v>4411.68</v>
      </c>
      <c r="D59" s="111">
        <f t="shared" ref="D59:F59" si="0">$B$55+($B$55*D58)</f>
        <v>4490.46</v>
      </c>
      <c r="E59" s="112">
        <f t="shared" si="0"/>
        <v>4569.24</v>
      </c>
      <c r="F59" s="111">
        <f t="shared" si="0"/>
        <v>4648.0200000000004</v>
      </c>
      <c r="G59" s="113">
        <f>$B$55+($B$55*G58)</f>
        <v>4726.8</v>
      </c>
      <c r="J59" s="98" t="s">
        <v>103</v>
      </c>
      <c r="K59" s="99">
        <v>383.07</v>
      </c>
    </row>
    <row r="60" spans="1:11">
      <c r="A60" s="110" t="s">
        <v>104</v>
      </c>
      <c r="B60" s="111"/>
      <c r="C60" s="112">
        <f t="shared" ref="C60:G60" si="1">C59-$B$55</f>
        <v>472.68000000000029</v>
      </c>
      <c r="D60" s="111">
        <f t="shared" si="1"/>
        <v>551.46</v>
      </c>
      <c r="E60" s="112">
        <f t="shared" si="1"/>
        <v>630.23999999999978</v>
      </c>
      <c r="F60" s="111">
        <f t="shared" si="1"/>
        <v>709.02000000000044</v>
      </c>
      <c r="G60" s="113">
        <f t="shared" si="1"/>
        <v>787.80000000000018</v>
      </c>
      <c r="K60">
        <f>AVERAGE(K53:K59)</f>
        <v>382.82857142857148</v>
      </c>
    </row>
    <row r="61" spans="1:11">
      <c r="A61" s="110" t="s">
        <v>105</v>
      </c>
      <c r="B61" s="114"/>
      <c r="C61" s="115">
        <v>7500</v>
      </c>
      <c r="D61" s="114">
        <v>7500</v>
      </c>
      <c r="E61" s="115">
        <v>7500</v>
      </c>
      <c r="F61" s="114">
        <v>7500</v>
      </c>
      <c r="G61" s="116">
        <v>7500</v>
      </c>
    </row>
    <row r="62" spans="1:11">
      <c r="A62" s="110" t="s">
        <v>106</v>
      </c>
      <c r="B62" s="114"/>
      <c r="C62" s="115">
        <f t="shared" ref="C62:G62" si="2">C60*C61/480</f>
        <v>7385.6250000000045</v>
      </c>
      <c r="D62" s="114">
        <f t="shared" si="2"/>
        <v>8616.5625000000018</v>
      </c>
      <c r="E62" s="115">
        <f t="shared" si="2"/>
        <v>9847.4999999999964</v>
      </c>
      <c r="F62" s="114">
        <f t="shared" si="2"/>
        <v>11078.437500000007</v>
      </c>
      <c r="G62" s="116">
        <f t="shared" si="2"/>
        <v>12309.375000000002</v>
      </c>
    </row>
    <row r="63" spans="1:11">
      <c r="A63" s="110" t="s">
        <v>107</v>
      </c>
      <c r="B63" s="117">
        <f>B62-$E$42</f>
        <v>-1071.8356119791661</v>
      </c>
      <c r="C63" s="118">
        <f t="shared" ref="C63:G63" si="3">C62-$E$42</f>
        <v>6313.7893880208385</v>
      </c>
      <c r="D63" s="117">
        <f>D62-$E$42</f>
        <v>7544.7268880208358</v>
      </c>
      <c r="E63" s="118">
        <f t="shared" si="3"/>
        <v>8775.6643880208303</v>
      </c>
      <c r="F63" s="117">
        <f t="shared" si="3"/>
        <v>10006.601888020841</v>
      </c>
      <c r="G63" s="119">
        <f t="shared" si="3"/>
        <v>11237.539388020836</v>
      </c>
    </row>
    <row r="64" spans="1:11" ht="0.5" customHeight="1" thickBot="1">
      <c r="A64" s="120"/>
      <c r="B64" s="121"/>
      <c r="C64" s="122"/>
      <c r="D64" s="121"/>
      <c r="E64" s="122"/>
      <c r="F64" s="121"/>
      <c r="G64" s="123"/>
    </row>
    <row r="65" spans="1:7" ht="16" thickBot="1">
      <c r="A65" s="124"/>
      <c r="B65" s="125" t="s">
        <v>108</v>
      </c>
      <c r="C65" s="126" t="s">
        <v>108</v>
      </c>
      <c r="D65" s="125" t="s">
        <v>108</v>
      </c>
      <c r="E65" s="126" t="s">
        <v>108</v>
      </c>
      <c r="F65" s="125" t="s">
        <v>108</v>
      </c>
      <c r="G65" s="127" t="s">
        <v>109</v>
      </c>
    </row>
  </sheetData>
  <mergeCells count="4">
    <mergeCell ref="A2:B3"/>
    <mergeCell ref="C2:C3"/>
    <mergeCell ref="D2:D3"/>
    <mergeCell ref="E2:E3"/>
  </mergeCells>
  <pageMargins left="0.75" right="0.75" top="1" bottom="1" header="0.5" footer="0.5"/>
  <pageSetup orientation="portrait" horizontalDpi="4294967292" verticalDpi="4294967292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44"/>
  <sheetViews>
    <sheetView showGridLines="0" tabSelected="1" topLeftCell="D19" workbookViewId="0">
      <selection activeCell="L38" sqref="L38"/>
    </sheetView>
  </sheetViews>
  <sheetFormatPr baseColWidth="10" defaultRowHeight="15" x14ac:dyDescent="0"/>
  <cols>
    <col min="2" max="2" width="30" customWidth="1"/>
    <col min="3" max="3" width="28.1640625" customWidth="1"/>
    <col min="4" max="4" width="28.6640625" customWidth="1"/>
    <col min="5" max="5" width="22" customWidth="1"/>
    <col min="7" max="7" width="31.6640625" bestFit="1" customWidth="1"/>
  </cols>
  <sheetData>
    <row r="3" spans="2:5">
      <c r="B3" s="252" t="s">
        <v>204</v>
      </c>
      <c r="C3" s="252" t="s">
        <v>205</v>
      </c>
      <c r="D3" s="252" t="s">
        <v>206</v>
      </c>
      <c r="E3" s="252" t="s">
        <v>202</v>
      </c>
    </row>
    <row r="4" spans="2:5">
      <c r="B4" s="253" t="s">
        <v>207</v>
      </c>
      <c r="C4" s="254">
        <v>80000</v>
      </c>
      <c r="D4" s="254">
        <v>310000</v>
      </c>
      <c r="E4" s="254">
        <v>38000</v>
      </c>
    </row>
    <row r="5" spans="2:5">
      <c r="B5" s="255"/>
      <c r="C5" s="256">
        <v>0.42105263157894735</v>
      </c>
      <c r="D5" s="256">
        <v>1.631578947368421</v>
      </c>
      <c r="E5" s="256">
        <v>0.2</v>
      </c>
    </row>
    <row r="6" spans="2:5">
      <c r="B6" s="257" t="s">
        <v>208</v>
      </c>
      <c r="C6" s="258" t="s">
        <v>209</v>
      </c>
      <c r="D6" s="258" t="s">
        <v>210</v>
      </c>
      <c r="E6" s="258" t="s">
        <v>211</v>
      </c>
    </row>
    <row r="7" spans="2:5" ht="30">
      <c r="B7" s="257" t="s">
        <v>212</v>
      </c>
      <c r="C7" s="258" t="s">
        <v>213</v>
      </c>
      <c r="D7" s="258" t="s">
        <v>214</v>
      </c>
      <c r="E7" s="258" t="s">
        <v>215</v>
      </c>
    </row>
    <row r="8" spans="2:5">
      <c r="B8" s="257" t="s">
        <v>182</v>
      </c>
      <c r="C8" s="258" t="s">
        <v>216</v>
      </c>
      <c r="D8" s="258" t="s">
        <v>217</v>
      </c>
      <c r="E8" s="258" t="s">
        <v>217</v>
      </c>
    </row>
    <row r="9" spans="2:5">
      <c r="B9" s="257" t="s">
        <v>218</v>
      </c>
      <c r="C9" s="258" t="s">
        <v>219</v>
      </c>
      <c r="D9" s="258" t="s">
        <v>220</v>
      </c>
      <c r="E9" s="258" t="s">
        <v>221</v>
      </c>
    </row>
    <row r="10" spans="2:5">
      <c r="B10" s="257" t="s">
        <v>222</v>
      </c>
      <c r="C10" s="258" t="s">
        <v>223</v>
      </c>
      <c r="D10" s="258" t="s">
        <v>220</v>
      </c>
      <c r="E10" s="258" t="s">
        <v>221</v>
      </c>
    </row>
    <row r="13" spans="2:5" ht="23">
      <c r="B13" s="271" t="s">
        <v>204</v>
      </c>
      <c r="C13" s="272" t="s">
        <v>205</v>
      </c>
      <c r="D13" s="272" t="s">
        <v>206</v>
      </c>
      <c r="E13" s="273" t="s">
        <v>202</v>
      </c>
    </row>
    <row r="14" spans="2:5">
      <c r="B14" s="262" t="s">
        <v>207</v>
      </c>
      <c r="C14" s="254">
        <v>80000</v>
      </c>
      <c r="D14" s="254">
        <v>310000</v>
      </c>
      <c r="E14" s="265">
        <v>38000</v>
      </c>
    </row>
    <row r="15" spans="2:5">
      <c r="B15" s="263"/>
      <c r="C15" s="256">
        <v>0.42105263157894735</v>
      </c>
      <c r="D15" s="256">
        <v>1.631578947368421</v>
      </c>
      <c r="E15" s="266">
        <v>0.2</v>
      </c>
    </row>
    <row r="16" spans="2:5">
      <c r="B16" s="264" t="s">
        <v>208</v>
      </c>
      <c r="C16" s="258" t="s">
        <v>209</v>
      </c>
      <c r="D16" s="258" t="s">
        <v>210</v>
      </c>
      <c r="E16" s="267" t="s">
        <v>211</v>
      </c>
    </row>
    <row r="17" spans="2:10" ht="30">
      <c r="B17" s="264" t="s">
        <v>212</v>
      </c>
      <c r="C17" s="258" t="s">
        <v>213</v>
      </c>
      <c r="D17" s="258" t="s">
        <v>214</v>
      </c>
      <c r="E17" s="267" t="s">
        <v>215</v>
      </c>
    </row>
    <row r="18" spans="2:10">
      <c r="B18" s="264" t="s">
        <v>182</v>
      </c>
      <c r="C18" s="258" t="s">
        <v>216</v>
      </c>
      <c r="D18" s="258" t="s">
        <v>217</v>
      </c>
      <c r="E18" s="267" t="s">
        <v>217</v>
      </c>
    </row>
    <row r="19" spans="2:10">
      <c r="B19" s="264" t="s">
        <v>218</v>
      </c>
      <c r="C19" s="258" t="s">
        <v>219</v>
      </c>
      <c r="D19" s="258" t="s">
        <v>220</v>
      </c>
      <c r="E19" s="267" t="s">
        <v>221</v>
      </c>
    </row>
    <row r="20" spans="2:10">
      <c r="B20" s="268" t="s">
        <v>222</v>
      </c>
      <c r="C20" s="269" t="s">
        <v>223</v>
      </c>
      <c r="D20" s="269" t="s">
        <v>220</v>
      </c>
      <c r="E20" s="270" t="s">
        <v>221</v>
      </c>
    </row>
    <row r="23" spans="2:10">
      <c r="B23" s="259" t="s">
        <v>228</v>
      </c>
    </row>
    <row r="24" spans="2:10">
      <c r="B24" s="260"/>
      <c r="C24" s="261" t="s">
        <v>224</v>
      </c>
      <c r="D24" s="261" t="s">
        <v>225</v>
      </c>
      <c r="E24" s="261" t="s">
        <v>226</v>
      </c>
    </row>
    <row r="25" spans="2:10">
      <c r="B25" s="131" t="s">
        <v>145</v>
      </c>
      <c r="C25" s="243">
        <f>+'Híbrido DELTA (2)'!I21</f>
        <v>-1476000</v>
      </c>
      <c r="D25" s="243">
        <f>+'Híbrido DELTA (2)'!N44</f>
        <v>-2706000</v>
      </c>
      <c r="E25" s="243">
        <f>+'Híbrido DELTA (2)'!P67</f>
        <v>-3198000</v>
      </c>
      <c r="I25" s="4"/>
      <c r="J25" s="4"/>
    </row>
    <row r="26" spans="2:10">
      <c r="B26" s="131" t="s">
        <v>120</v>
      </c>
      <c r="C26" s="243">
        <f>+'Híbrido DELTA (2)'!I22</f>
        <v>7031250</v>
      </c>
      <c r="D26" s="243">
        <f>+'Híbrido DELTA (2)'!N45</f>
        <v>14062500</v>
      </c>
      <c r="E26" s="243">
        <f>+'Híbrido DELTA (2)'!P68</f>
        <v>16875000</v>
      </c>
      <c r="G26" s="290" t="s">
        <v>233</v>
      </c>
      <c r="H26" s="289">
        <v>3939</v>
      </c>
      <c r="I26" s="4"/>
      <c r="J26" s="4"/>
    </row>
    <row r="27" spans="2:10">
      <c r="B27" s="131" t="s">
        <v>121</v>
      </c>
      <c r="C27" s="243">
        <f>+'Híbrido DELTA (2)'!I23</f>
        <v>-6158250</v>
      </c>
      <c r="D27" s="243">
        <f>+'Híbrido DELTA (2)'!N46</f>
        <v>-12316500</v>
      </c>
      <c r="E27" s="243">
        <f>+'Híbrido DELTA (2)'!P69</f>
        <v>-14779800</v>
      </c>
    </row>
    <row r="28" spans="2:10">
      <c r="B28" s="131" t="s">
        <v>122</v>
      </c>
      <c r="C28" s="243">
        <f>+'Híbrido DELTA (2)'!I24</f>
        <v>338173.828125</v>
      </c>
      <c r="D28" s="243">
        <f>+'Híbrido DELTA (2)'!N47</f>
        <v>676347.65625</v>
      </c>
      <c r="E28" s="243">
        <f>+'Híbrido DELTA (2)'!P70</f>
        <v>811617.1875</v>
      </c>
      <c r="G28" s="288" t="s">
        <v>228</v>
      </c>
      <c r="H28" s="288" t="s">
        <v>190</v>
      </c>
      <c r="I28" s="288" t="s">
        <v>191</v>
      </c>
      <c r="J28" s="288" t="s">
        <v>192</v>
      </c>
    </row>
    <row r="29" spans="2:10">
      <c r="B29" s="131" t="s">
        <v>123</v>
      </c>
      <c r="C29" s="243">
        <f>+'Híbrido DELTA (2)'!I25</f>
        <v>557812.5</v>
      </c>
      <c r="D29" s="243">
        <f>+'Híbrido DELTA (2)'!N48</f>
        <v>1115625</v>
      </c>
      <c r="E29" s="243">
        <f>+'Híbrido DELTA (2)'!P71</f>
        <v>1338750</v>
      </c>
      <c r="G29" s="284" t="s">
        <v>231</v>
      </c>
      <c r="H29" s="243">
        <v>1457.43</v>
      </c>
      <c r="I29" s="243">
        <v>787.80000000000007</v>
      </c>
      <c r="J29" s="274">
        <v>669.63</v>
      </c>
    </row>
    <row r="30" spans="2:10">
      <c r="B30" s="131" t="s">
        <v>227</v>
      </c>
      <c r="C30" s="243">
        <f>+'Híbrido DELTA (2)'!I26</f>
        <v>-8200000</v>
      </c>
      <c r="D30" s="243">
        <f>+'Híbrido DELTA (2)'!N49</f>
        <v>-8200000</v>
      </c>
      <c r="E30" s="243">
        <f>+'Híbrido DELTA (2)'!P72</f>
        <v>-8199999.9999999991</v>
      </c>
      <c r="G30" s="285" t="s">
        <v>232</v>
      </c>
      <c r="H30" s="286">
        <v>0.37</v>
      </c>
      <c r="I30" s="286">
        <v>0.2</v>
      </c>
      <c r="J30" s="287">
        <v>0.17</v>
      </c>
    </row>
    <row r="31" spans="2:10">
      <c r="B31" s="131" t="s">
        <v>183</v>
      </c>
      <c r="C31" s="243">
        <f>+'Híbrido DELTA (2)'!I27</f>
        <v>0</v>
      </c>
      <c r="D31" s="243">
        <f>+'Híbrido DELTA (2)'!N50</f>
        <v>0</v>
      </c>
      <c r="E31" s="243">
        <f>+'Híbrido DELTA (2)'!P73</f>
        <v>0</v>
      </c>
    </row>
    <row r="32" spans="2:10">
      <c r="B32" s="131" t="s">
        <v>150</v>
      </c>
      <c r="C32" s="243">
        <f>+'Híbrido DELTA (2)'!I28</f>
        <v>-600000</v>
      </c>
      <c r="D32" s="243">
        <f>+'Híbrido DELTA (2)'!N51</f>
        <v>-1200000</v>
      </c>
      <c r="E32" s="243">
        <f>+'Híbrido DELTA (2)'!P74</f>
        <v>-1440000</v>
      </c>
      <c r="G32" s="288" t="s">
        <v>229</v>
      </c>
      <c r="H32" s="288" t="s">
        <v>190</v>
      </c>
      <c r="I32" s="288" t="s">
        <v>191</v>
      </c>
      <c r="J32" s="288" t="s">
        <v>192</v>
      </c>
    </row>
    <row r="33" spans="2:10">
      <c r="G33" s="284" t="s">
        <v>231</v>
      </c>
      <c r="H33" s="243">
        <v>3663.27</v>
      </c>
      <c r="I33" s="243">
        <v>1063.53</v>
      </c>
      <c r="J33" s="274">
        <v>630.24</v>
      </c>
    </row>
    <row r="34" spans="2:10">
      <c r="G34" s="285" t="s">
        <v>232</v>
      </c>
      <c r="H34" s="286">
        <v>0.93</v>
      </c>
      <c r="I34" s="286">
        <v>0.27</v>
      </c>
      <c r="J34" s="287">
        <v>0.16</v>
      </c>
    </row>
    <row r="35" spans="2:10">
      <c r="B35" s="259" t="s">
        <v>225</v>
      </c>
    </row>
    <row r="36" spans="2:10" ht="23">
      <c r="B36" s="275" t="s">
        <v>234</v>
      </c>
      <c r="C36" s="276" t="s">
        <v>228</v>
      </c>
      <c r="D36" s="276" t="s">
        <v>229</v>
      </c>
      <c r="E36" s="277" t="s">
        <v>230</v>
      </c>
      <c r="G36" s="288" t="s">
        <v>230</v>
      </c>
      <c r="H36" s="288" t="s">
        <v>190</v>
      </c>
      <c r="I36" s="288" t="s">
        <v>191</v>
      </c>
      <c r="J36" s="288" t="s">
        <v>192</v>
      </c>
    </row>
    <row r="37" spans="2:10">
      <c r="B37" s="278" t="s">
        <v>145</v>
      </c>
      <c r="C37" s="279">
        <f>+D25</f>
        <v>-2706000</v>
      </c>
      <c r="D37" s="279">
        <v>-10230000</v>
      </c>
      <c r="E37" s="280">
        <v>-1254000</v>
      </c>
      <c r="G37" s="284" t="s">
        <v>231</v>
      </c>
      <c r="H37" s="243">
        <v>472.68</v>
      </c>
      <c r="I37" s="243">
        <v>157.56</v>
      </c>
      <c r="J37" s="274">
        <v>118.17</v>
      </c>
    </row>
    <row r="38" spans="2:10">
      <c r="B38" s="278" t="s">
        <v>120</v>
      </c>
      <c r="C38" s="279">
        <f t="shared" ref="C38:C44" si="0">+D26</f>
        <v>14062500</v>
      </c>
      <c r="D38" s="279">
        <v>32812500.000000004</v>
      </c>
      <c r="E38" s="280">
        <v>0</v>
      </c>
      <c r="G38" s="285" t="s">
        <v>232</v>
      </c>
      <c r="H38" s="286">
        <v>0.12</v>
      </c>
      <c r="I38" s="286">
        <v>0.04</v>
      </c>
      <c r="J38" s="287">
        <v>0.03</v>
      </c>
    </row>
    <row r="39" spans="2:10">
      <c r="B39" s="278" t="s">
        <v>121</v>
      </c>
      <c r="C39" s="279">
        <f t="shared" si="0"/>
        <v>-12316500</v>
      </c>
      <c r="D39" s="279">
        <v>-18474750</v>
      </c>
      <c r="E39" s="280">
        <v>0</v>
      </c>
    </row>
    <row r="40" spans="2:10">
      <c r="B40" s="278" t="s">
        <v>122</v>
      </c>
      <c r="C40" s="279">
        <f t="shared" si="0"/>
        <v>676347.65625</v>
      </c>
      <c r="D40" s="279">
        <v>2254492.1875000005</v>
      </c>
      <c r="E40" s="280">
        <v>2254492.1875000005</v>
      </c>
    </row>
    <row r="41" spans="2:10">
      <c r="B41" s="278" t="s">
        <v>123</v>
      </c>
      <c r="C41" s="279">
        <f t="shared" si="0"/>
        <v>1115625</v>
      </c>
      <c r="D41" s="279">
        <v>1115625</v>
      </c>
      <c r="E41" s="280">
        <v>0</v>
      </c>
    </row>
    <row r="42" spans="2:10">
      <c r="B42" s="278" t="s">
        <v>227</v>
      </c>
      <c r="C42" s="279">
        <f t="shared" si="0"/>
        <v>-8200000</v>
      </c>
      <c r="D42" s="279">
        <v>-31000000</v>
      </c>
      <c r="E42" s="280">
        <v>-3800000</v>
      </c>
    </row>
    <row r="43" spans="2:10">
      <c r="B43" s="278" t="s">
        <v>183</v>
      </c>
      <c r="C43" s="279">
        <f t="shared" si="0"/>
        <v>0</v>
      </c>
      <c r="D43" s="279">
        <v>0</v>
      </c>
      <c r="E43" s="280">
        <v>0</v>
      </c>
    </row>
    <row r="44" spans="2:10">
      <c r="B44" s="281" t="s">
        <v>150</v>
      </c>
      <c r="C44" s="282">
        <f t="shared" si="0"/>
        <v>-1200000</v>
      </c>
      <c r="D44" s="282">
        <v>12757172.34996797</v>
      </c>
      <c r="E44" s="283">
        <v>1200000</v>
      </c>
    </row>
  </sheetData>
  <pageMargins left="0.75" right="0.75" top="1" bottom="1" header="0.5" footer="0.5"/>
  <pageSetup orientation="portrait" horizontalDpi="4294967292" verticalDpi="4294967292"/>
  <tableParts count="5">
    <tablePart r:id="rId1"/>
    <tablePart r:id="rId2"/>
    <tablePart r:id="rId3"/>
    <tablePart r:id="rId4"/>
    <tablePart r:id="rId5"/>
  </tableParts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62"/>
  <sheetViews>
    <sheetView workbookViewId="0">
      <selection activeCell="E31" sqref="E31"/>
    </sheetView>
  </sheetViews>
  <sheetFormatPr baseColWidth="10" defaultColWidth="9.1640625" defaultRowHeight="15" x14ac:dyDescent="0"/>
  <cols>
    <col min="1" max="1" width="46.33203125" customWidth="1"/>
    <col min="2" max="2" width="9.33203125" bestFit="1" customWidth="1"/>
    <col min="3" max="3" width="18.33203125" customWidth="1"/>
    <col min="4" max="4" width="14.5" customWidth="1"/>
    <col min="5" max="5" width="10.33203125" bestFit="1" customWidth="1"/>
    <col min="6" max="6" width="9.5" customWidth="1"/>
    <col min="7" max="7" width="10.83203125" bestFit="1" customWidth="1"/>
    <col min="10" max="10" width="19.5" customWidth="1"/>
  </cols>
  <sheetData>
    <row r="1" spans="1:11" ht="16" thickBot="1">
      <c r="A1" t="s">
        <v>62</v>
      </c>
    </row>
    <row r="2" spans="1:11">
      <c r="A2" s="291" t="s">
        <v>63</v>
      </c>
      <c r="B2" s="292"/>
      <c r="C2" s="295" t="s">
        <v>34</v>
      </c>
      <c r="D2" s="297" t="s">
        <v>35</v>
      </c>
      <c r="E2" s="295" t="s">
        <v>36</v>
      </c>
    </row>
    <row r="3" spans="1:11" ht="36.5" customHeight="1" thickBot="1">
      <c r="A3" s="293"/>
      <c r="B3" s="294"/>
      <c r="C3" s="296"/>
      <c r="D3" s="298"/>
      <c r="E3" s="296"/>
      <c r="F3" s="30"/>
    </row>
    <row r="4" spans="1:11">
      <c r="A4" s="31" t="s">
        <v>37</v>
      </c>
      <c r="B4" s="32" t="s">
        <v>17</v>
      </c>
      <c r="C4" s="33">
        <v>190000</v>
      </c>
      <c r="D4" s="33">
        <v>272000</v>
      </c>
      <c r="E4" s="34">
        <f>D4-C4</f>
        <v>82000</v>
      </c>
      <c r="F4" s="35">
        <f>E4/C4</f>
        <v>0.43157894736842106</v>
      </c>
      <c r="G4" s="36" t="s">
        <v>64</v>
      </c>
    </row>
    <row r="5" spans="1:11">
      <c r="A5" s="130" t="s">
        <v>65</v>
      </c>
      <c r="B5" s="131" t="s">
        <v>39</v>
      </c>
      <c r="C5" s="132">
        <v>7500</v>
      </c>
      <c r="D5" s="132">
        <v>7500</v>
      </c>
      <c r="E5" s="133"/>
      <c r="F5" s="38">
        <f>+D5*12</f>
        <v>90000</v>
      </c>
      <c r="K5">
        <f>300*25</f>
        <v>7500</v>
      </c>
    </row>
    <row r="6" spans="1:11">
      <c r="A6" s="130" t="s">
        <v>38</v>
      </c>
      <c r="B6" s="134" t="s">
        <v>39</v>
      </c>
      <c r="C6" s="128">
        <f>C5*12</f>
        <v>90000</v>
      </c>
      <c r="D6" s="128">
        <f>D5*12</f>
        <v>90000</v>
      </c>
      <c r="E6" s="135"/>
    </row>
    <row r="7" spans="1:11">
      <c r="A7" s="37" t="s">
        <v>40</v>
      </c>
      <c r="B7" s="41" t="s">
        <v>41</v>
      </c>
      <c r="C7" s="139">
        <v>5</v>
      </c>
      <c r="D7" s="139">
        <v>5</v>
      </c>
      <c r="E7" s="140"/>
    </row>
    <row r="8" spans="1:11">
      <c r="A8" s="130" t="s">
        <v>42</v>
      </c>
      <c r="B8" s="134" t="s">
        <v>43</v>
      </c>
      <c r="C8" s="136">
        <v>2.4</v>
      </c>
      <c r="D8" s="129">
        <f>+C8*1.28</f>
        <v>3.0720000000000001</v>
      </c>
      <c r="E8" s="137"/>
    </row>
    <row r="9" spans="1:11">
      <c r="A9" s="130" t="s">
        <v>66</v>
      </c>
      <c r="B9" s="134" t="s">
        <v>67</v>
      </c>
      <c r="C9" s="138">
        <f>1/C8</f>
        <v>0.41666666666666669</v>
      </c>
      <c r="D9" s="138">
        <f>C9*0.7</f>
        <v>0.29166666666666669</v>
      </c>
      <c r="E9" s="137"/>
      <c r="F9" s="42" t="s">
        <v>68</v>
      </c>
      <c r="H9" s="43"/>
    </row>
    <row r="10" spans="1:11">
      <c r="A10" s="44" t="s">
        <v>69</v>
      </c>
      <c r="B10" s="45" t="s">
        <v>44</v>
      </c>
      <c r="C10" s="141">
        <f>600/480</f>
        <v>1.25</v>
      </c>
      <c r="D10" s="141">
        <f>600/480</f>
        <v>1.25</v>
      </c>
      <c r="E10" s="46"/>
      <c r="G10">
        <v>1.25</v>
      </c>
      <c r="H10">
        <v>550</v>
      </c>
      <c r="I10">
        <f>+G10*H10</f>
        <v>687.5</v>
      </c>
      <c r="J10">
        <v>600</v>
      </c>
    </row>
    <row r="11" spans="1:11" ht="16" thickBot="1">
      <c r="A11" s="47" t="s">
        <v>70</v>
      </c>
      <c r="B11" s="48" t="s">
        <v>44</v>
      </c>
      <c r="C11" s="49">
        <f>485/480*1.19</f>
        <v>1.2023958333333333</v>
      </c>
      <c r="D11" s="49">
        <f>485/480*1.19</f>
        <v>1.2023958333333333</v>
      </c>
      <c r="E11" s="50"/>
    </row>
    <row r="12" spans="1:11" ht="16" thickBot="1">
      <c r="A12" s="28"/>
      <c r="B12" s="51"/>
      <c r="C12" s="52"/>
      <c r="D12" s="52"/>
      <c r="E12" s="53"/>
      <c r="G12" s="54"/>
    </row>
    <row r="13" spans="1:11">
      <c r="A13" s="55" t="s">
        <v>71</v>
      </c>
      <c r="B13" s="56"/>
      <c r="C13" s="57"/>
      <c r="D13" s="57"/>
      <c r="E13" s="58"/>
      <c r="J13" s="38">
        <v>1200000</v>
      </c>
      <c r="K13">
        <f>+J13/10/300</f>
        <v>400</v>
      </c>
    </row>
    <row r="14" spans="1:11">
      <c r="A14" s="59" t="s">
        <v>72</v>
      </c>
      <c r="B14" s="60" t="s">
        <v>73</v>
      </c>
      <c r="C14" s="61">
        <f>C9*C10</f>
        <v>0.52083333333333337</v>
      </c>
      <c r="D14" s="61">
        <f>D9*D10</f>
        <v>0.36458333333333337</v>
      </c>
      <c r="E14" s="62"/>
      <c r="G14" s="63"/>
    </row>
    <row r="15" spans="1:11">
      <c r="A15" s="59" t="s">
        <v>74</v>
      </c>
      <c r="B15" s="60" t="s">
        <v>19</v>
      </c>
      <c r="C15" s="61"/>
      <c r="D15" s="64">
        <f>D14-C14</f>
        <v>-0.15625</v>
      </c>
      <c r="E15" s="62"/>
    </row>
    <row r="16" spans="1:11" ht="16" thickBot="1">
      <c r="A16" s="142" t="s">
        <v>75</v>
      </c>
      <c r="B16" s="143" t="s">
        <v>17</v>
      </c>
      <c r="C16" s="145">
        <f>C14*C5</f>
        <v>3906.2500000000005</v>
      </c>
      <c r="D16" s="145">
        <f>D14*D5</f>
        <v>2734.3750000000005</v>
      </c>
      <c r="E16" s="150">
        <f>D16-C16</f>
        <v>-1171.875</v>
      </c>
      <c r="G16" s="67">
        <f>+E16*12*100</f>
        <v>-1406250</v>
      </c>
      <c r="I16" s="91">
        <f>+E16/C16</f>
        <v>-0.3</v>
      </c>
    </row>
    <row r="17" spans="1:9" ht="16" thickBot="1">
      <c r="A17" s="65" t="s">
        <v>110</v>
      </c>
      <c r="B17" s="66" t="s">
        <v>17</v>
      </c>
      <c r="C17" s="148">
        <f>C16*12</f>
        <v>46875.000000000007</v>
      </c>
      <c r="D17" s="148">
        <f>D16*12</f>
        <v>32812.500000000007</v>
      </c>
      <c r="E17" s="151"/>
      <c r="G17" s="67"/>
    </row>
    <row r="18" spans="1:9" ht="16" thickBot="1">
      <c r="A18" s="28"/>
      <c r="B18" s="51"/>
      <c r="C18" s="68"/>
      <c r="D18" s="52"/>
      <c r="E18" s="69"/>
    </row>
    <row r="19" spans="1:9">
      <c r="A19" s="55" t="s">
        <v>76</v>
      </c>
      <c r="B19" s="56"/>
      <c r="C19" s="57"/>
      <c r="D19" s="70"/>
      <c r="E19" s="71"/>
    </row>
    <row r="20" spans="1:9">
      <c r="A20" s="72" t="s">
        <v>77</v>
      </c>
      <c r="B20" s="39" t="s">
        <v>19</v>
      </c>
      <c r="C20" s="73"/>
      <c r="D20" s="74">
        <f>0.115*1.19</f>
        <v>0.13685</v>
      </c>
      <c r="E20" s="40"/>
    </row>
    <row r="21" spans="1:9" ht="16" thickBot="1">
      <c r="A21" s="142" t="s">
        <v>78</v>
      </c>
      <c r="B21" s="143" t="s">
        <v>17</v>
      </c>
      <c r="C21" s="144"/>
      <c r="D21" s="145">
        <f>D20*D5</f>
        <v>1026.375</v>
      </c>
      <c r="E21" s="146">
        <f>D21-C21</f>
        <v>1026.375</v>
      </c>
    </row>
    <row r="22" spans="1:9" ht="16" thickBot="1">
      <c r="A22" s="65" t="s">
        <v>111</v>
      </c>
      <c r="B22" s="66" t="s">
        <v>17</v>
      </c>
      <c r="C22" s="147"/>
      <c r="D22" s="148">
        <f>D21*12</f>
        <v>12316.5</v>
      </c>
      <c r="E22" s="149"/>
    </row>
    <row r="23" spans="1:9" ht="16" thickBot="1">
      <c r="A23" s="75"/>
      <c r="B23" s="76"/>
      <c r="C23" s="77"/>
      <c r="D23" s="78"/>
      <c r="E23" s="79"/>
    </row>
    <row r="24" spans="1:9">
      <c r="A24" s="55" t="s">
        <v>79</v>
      </c>
      <c r="B24" s="80"/>
      <c r="C24" s="81"/>
      <c r="D24" s="82"/>
      <c r="E24" s="83"/>
    </row>
    <row r="25" spans="1:9">
      <c r="A25" s="59" t="s">
        <v>80</v>
      </c>
      <c r="B25" s="84" t="s">
        <v>73</v>
      </c>
      <c r="C25" s="85">
        <f>(C9*5%)*C11</f>
        <v>2.5049913194444447E-2</v>
      </c>
      <c r="D25" s="85">
        <f>(D9*5%)*D11</f>
        <v>1.7534939236111113E-2</v>
      </c>
      <c r="E25" s="86">
        <f>D25-C25</f>
        <v>-7.514973958333334E-3</v>
      </c>
    </row>
    <row r="26" spans="1:9" ht="16" thickBot="1">
      <c r="A26" s="142" t="s">
        <v>81</v>
      </c>
      <c r="B26" s="143" t="s">
        <v>17</v>
      </c>
      <c r="C26" s="145">
        <f>C25*C5</f>
        <v>187.87434895833334</v>
      </c>
      <c r="D26" s="145">
        <f>D25*D5</f>
        <v>131.51204427083334</v>
      </c>
      <c r="E26" s="150">
        <f>D26-C26</f>
        <v>-56.3623046875</v>
      </c>
    </row>
    <row r="27" spans="1:9" ht="16" thickBot="1">
      <c r="A27" s="65" t="s">
        <v>112</v>
      </c>
      <c r="B27" s="66" t="s">
        <v>17</v>
      </c>
      <c r="C27" s="148">
        <f>C26*12</f>
        <v>2254.4921875</v>
      </c>
      <c r="D27" s="148">
        <f>D26*12</f>
        <v>1578.14453125</v>
      </c>
      <c r="E27" s="151"/>
      <c r="I27" s="67">
        <f>D4/12/5</f>
        <v>4533.3333333333339</v>
      </c>
    </row>
    <row r="28" spans="1:9" ht="16" thickBot="1">
      <c r="A28" s="75"/>
      <c r="B28" s="76"/>
      <c r="C28" s="77"/>
      <c r="D28" s="78"/>
      <c r="E28" s="79"/>
    </row>
    <row r="29" spans="1:9">
      <c r="A29" s="55" t="s">
        <v>82</v>
      </c>
      <c r="B29" s="80"/>
      <c r="C29" s="81"/>
      <c r="D29" s="82"/>
      <c r="E29" s="83"/>
    </row>
    <row r="30" spans="1:9">
      <c r="A30" s="59" t="s">
        <v>83</v>
      </c>
      <c r="B30" s="84" t="s">
        <v>73</v>
      </c>
      <c r="C30" s="85">
        <f>(93*1.19)/480</f>
        <v>0.2305625</v>
      </c>
      <c r="D30" s="85">
        <f>(88*1.19)/480</f>
        <v>0.21816666666666668</v>
      </c>
      <c r="E30" s="86">
        <f>D30-C30</f>
        <v>-1.2395833333333328E-2</v>
      </c>
    </row>
    <row r="31" spans="1:9" ht="16" thickBot="1">
      <c r="A31" s="65" t="s">
        <v>84</v>
      </c>
      <c r="B31" s="66" t="s">
        <v>17</v>
      </c>
      <c r="C31" s="152">
        <f>C30*C5</f>
        <v>1729.21875</v>
      </c>
      <c r="D31" s="152">
        <f>D30*D5</f>
        <v>1636.25</v>
      </c>
      <c r="E31" s="153">
        <f>D31-C31</f>
        <v>-92.96875</v>
      </c>
    </row>
    <row r="32" spans="1:9" ht="16" thickBot="1">
      <c r="A32" s="65" t="s">
        <v>113</v>
      </c>
      <c r="B32" s="66" t="s">
        <v>17</v>
      </c>
      <c r="C32" s="148">
        <f>C31*12</f>
        <v>20750.625</v>
      </c>
      <c r="D32" s="148">
        <f>D31*12</f>
        <v>19635</v>
      </c>
      <c r="E32" s="151"/>
    </row>
    <row r="33" spans="1:14">
      <c r="A33" s="75"/>
      <c r="B33" s="76"/>
      <c r="C33" s="77"/>
      <c r="D33" s="78"/>
      <c r="E33" s="79"/>
    </row>
    <row r="34" spans="1:14" ht="16" thickBot="1">
      <c r="A34" s="75"/>
      <c r="B34" s="76"/>
      <c r="C34" s="77"/>
      <c r="D34" s="78"/>
      <c r="E34" s="79"/>
      <c r="G34" s="67"/>
    </row>
    <row r="35" spans="1:14" ht="16" thickBot="1">
      <c r="A35" s="154" t="s">
        <v>114</v>
      </c>
      <c r="B35" s="155" t="s">
        <v>17</v>
      </c>
      <c r="C35" s="205">
        <f>C4/5/12</f>
        <v>3166.6666666666665</v>
      </c>
      <c r="D35" s="206">
        <f>D4/5/12</f>
        <v>4533.333333333333</v>
      </c>
      <c r="E35" s="207">
        <f>D35-C35</f>
        <v>1366.6666666666665</v>
      </c>
      <c r="F35" s="36" t="s">
        <v>85</v>
      </c>
      <c r="G35">
        <v>3146</v>
      </c>
      <c r="H35">
        <f>+E35*12*5</f>
        <v>82000</v>
      </c>
      <c r="J35">
        <f>+E35*12</f>
        <v>16400</v>
      </c>
      <c r="M35" t="s">
        <v>193</v>
      </c>
    </row>
    <row r="36" spans="1:14" ht="16" thickBot="1">
      <c r="A36" s="201" t="s">
        <v>156</v>
      </c>
      <c r="B36" s="202" t="s">
        <v>17</v>
      </c>
      <c r="C36" s="203">
        <f>C35*12</f>
        <v>38000</v>
      </c>
      <c r="D36" s="203">
        <f>D35*12</f>
        <v>54400</v>
      </c>
      <c r="E36" s="204">
        <f>+E35*12</f>
        <v>16400</v>
      </c>
      <c r="F36" s="190"/>
      <c r="L36" s="67">
        <f>500000-190000</f>
        <v>310000</v>
      </c>
      <c r="M36">
        <f>+L36/5</f>
        <v>62000</v>
      </c>
      <c r="N36">
        <f>+M36*5</f>
        <v>310000</v>
      </c>
    </row>
    <row r="37" spans="1:14" ht="16" thickBot="1">
      <c r="A37" s="154" t="s">
        <v>157</v>
      </c>
      <c r="B37" s="155" t="s">
        <v>17</v>
      </c>
      <c r="C37" s="160">
        <f>C4/10</f>
        <v>19000</v>
      </c>
      <c r="D37" s="160">
        <f>D4/10</f>
        <v>27200</v>
      </c>
      <c r="E37" s="157">
        <f>D37-C37</f>
        <v>8200</v>
      </c>
      <c r="F37" s="36"/>
      <c r="G37" s="67"/>
    </row>
    <row r="38" spans="1:14" ht="16" thickBot="1">
      <c r="A38" s="154" t="s">
        <v>158</v>
      </c>
      <c r="B38" s="155" t="s">
        <v>17</v>
      </c>
      <c r="C38" s="160">
        <f>C4/12</f>
        <v>15833.333333333334</v>
      </c>
      <c r="D38" s="160">
        <f>D4/12</f>
        <v>22666.666666666668</v>
      </c>
      <c r="E38" s="157">
        <f>D38-C38</f>
        <v>6833.3333333333339</v>
      </c>
      <c r="F38" s="36"/>
      <c r="G38" s="67"/>
    </row>
    <row r="39" spans="1:14" ht="16" thickBot="1">
      <c r="A39" s="75"/>
      <c r="B39" s="76"/>
      <c r="C39" s="77"/>
      <c r="D39" s="78"/>
      <c r="E39" s="79"/>
    </row>
    <row r="40" spans="1:14" ht="16" thickBot="1">
      <c r="A40" s="87" t="s">
        <v>86</v>
      </c>
      <c r="B40" s="88" t="s">
        <v>17</v>
      </c>
      <c r="C40" s="161">
        <f>C35+C31+C26+C21+C16</f>
        <v>8990.009765625</v>
      </c>
      <c r="D40" s="161">
        <f>D35+D31+D26+D21+D16</f>
        <v>10061.845377604166</v>
      </c>
      <c r="E40" s="164">
        <f>D40-C40</f>
        <v>1071.8356119791661</v>
      </c>
      <c r="G40" s="89">
        <f>E40/C40</f>
        <v>0.11922518883989781</v>
      </c>
    </row>
    <row r="41" spans="1:14" ht="16" thickBot="1">
      <c r="A41" s="87" t="s">
        <v>119</v>
      </c>
      <c r="B41" s="88" t="s">
        <v>17</v>
      </c>
      <c r="C41" s="162">
        <f>SUM(C36,C32,C27,C22,C17)</f>
        <v>107880.1171875</v>
      </c>
      <c r="D41" s="162">
        <f>SUM(D36,D32,D27,D22,D17)</f>
        <v>120742.14453125</v>
      </c>
      <c r="E41" s="163">
        <f>D41-C41</f>
        <v>12862.02734375</v>
      </c>
      <c r="G41" s="89"/>
    </row>
    <row r="42" spans="1:14" ht="16" thickBot="1">
      <c r="A42" s="75"/>
      <c r="B42" s="76"/>
      <c r="C42" s="78"/>
      <c r="D42" s="78"/>
      <c r="E42" s="90"/>
      <c r="G42" s="91"/>
    </row>
    <row r="43" spans="1:14">
      <c r="A43" s="55" t="s">
        <v>115</v>
      </c>
      <c r="B43" s="80"/>
      <c r="C43" s="81"/>
      <c r="D43" s="82"/>
      <c r="E43" s="83"/>
    </row>
    <row r="44" spans="1:14">
      <c r="A44" s="59" t="s">
        <v>116</v>
      </c>
      <c r="B44" s="84"/>
      <c r="C44" s="85"/>
      <c r="D44" s="85"/>
      <c r="E44" s="86"/>
    </row>
    <row r="45" spans="1:14" ht="16" thickBot="1">
      <c r="A45" s="65" t="s">
        <v>117</v>
      </c>
      <c r="B45" s="66" t="s">
        <v>17</v>
      </c>
      <c r="C45" s="152"/>
      <c r="D45" s="152"/>
      <c r="E45" s="153"/>
    </row>
    <row r="46" spans="1:14" ht="16" thickBot="1">
      <c r="A46" s="65" t="s">
        <v>118</v>
      </c>
      <c r="B46" s="66" t="s">
        <v>17</v>
      </c>
      <c r="C46" s="148"/>
      <c r="D46" s="148"/>
      <c r="E46" s="151"/>
    </row>
    <row r="47" spans="1:14">
      <c r="A47" s="75"/>
      <c r="B47" s="76"/>
      <c r="C47" s="78"/>
      <c r="D47" s="78"/>
      <c r="E47" s="90"/>
      <c r="G47" s="91"/>
    </row>
    <row r="48" spans="1:14">
      <c r="A48" s="75"/>
      <c r="B48" s="76"/>
      <c r="C48" s="78"/>
      <c r="D48" s="78"/>
      <c r="E48" s="90"/>
      <c r="G48" s="91"/>
      <c r="J48" s="92"/>
    </row>
    <row r="49" spans="1:13" ht="16" thickBot="1">
      <c r="A49" s="93" t="s">
        <v>88</v>
      </c>
      <c r="B49" s="76"/>
      <c r="C49" s="77"/>
      <c r="D49" s="77"/>
      <c r="E49" s="79"/>
      <c r="J49" s="92" t="s">
        <v>87</v>
      </c>
    </row>
    <row r="50" spans="1:13" ht="16" thickBot="1">
      <c r="A50" t="s">
        <v>89</v>
      </c>
      <c r="B50" s="165">
        <v>1100</v>
      </c>
      <c r="C50" t="s">
        <v>17</v>
      </c>
      <c r="D50" s="94">
        <f>+B50*480/7500</f>
        <v>70.400000000000006</v>
      </c>
      <c r="J50" s="95" t="s">
        <v>90</v>
      </c>
      <c r="K50" s="96">
        <v>382.58</v>
      </c>
    </row>
    <row r="51" spans="1:13" ht="16" thickBot="1">
      <c r="A51" t="s">
        <v>91</v>
      </c>
      <c r="B51">
        <v>360.04</v>
      </c>
      <c r="C51" s="97" t="s">
        <v>92</v>
      </c>
      <c r="J51" s="98" t="s">
        <v>93</v>
      </c>
      <c r="K51" s="99">
        <v>382.07</v>
      </c>
    </row>
    <row r="52" spans="1:13" ht="16" thickBot="1">
      <c r="A52" t="s">
        <v>94</v>
      </c>
      <c r="B52" s="209">
        <v>3939</v>
      </c>
      <c r="C52" s="97" t="s">
        <v>95</v>
      </c>
      <c r="D52" s="100">
        <f>+D50/B52</f>
        <v>1.7872556486417873E-2</v>
      </c>
      <c r="J52" s="98" t="s">
        <v>96</v>
      </c>
      <c r="K52" s="99">
        <v>383.1</v>
      </c>
    </row>
    <row r="53" spans="1:13" ht="16" thickBot="1">
      <c r="J53" s="98" t="s">
        <v>97</v>
      </c>
      <c r="K53" s="99">
        <v>382.49</v>
      </c>
    </row>
    <row r="54" spans="1:13" ht="16" thickBot="1">
      <c r="A54" s="101"/>
      <c r="B54" s="102" t="s">
        <v>98</v>
      </c>
      <c r="C54" s="103" t="s">
        <v>98</v>
      </c>
      <c r="D54" s="102" t="s">
        <v>98</v>
      </c>
      <c r="E54" s="103" t="s">
        <v>98</v>
      </c>
      <c r="F54" s="102" t="s">
        <v>98</v>
      </c>
      <c r="G54" s="104" t="s">
        <v>98</v>
      </c>
      <c r="J54" s="98" t="s">
        <v>99</v>
      </c>
      <c r="K54" s="99">
        <v>382.63</v>
      </c>
    </row>
    <row r="55" spans="1:13" ht="16" thickBot="1">
      <c r="A55" s="105" t="s">
        <v>100</v>
      </c>
      <c r="B55" s="106">
        <v>0.1</v>
      </c>
      <c r="C55" s="107">
        <v>0.12</v>
      </c>
      <c r="D55" s="108">
        <v>0.14000000000000001</v>
      </c>
      <c r="E55" s="107">
        <v>0.16</v>
      </c>
      <c r="F55" s="108">
        <v>0.18</v>
      </c>
      <c r="G55" s="109">
        <v>0.2</v>
      </c>
      <c r="J55" s="98" t="s">
        <v>101</v>
      </c>
      <c r="K55" s="99">
        <v>383.86</v>
      </c>
    </row>
    <row r="56" spans="1:13" ht="17" thickTop="1" thickBot="1">
      <c r="A56" s="110" t="s">
        <v>102</v>
      </c>
      <c r="B56" s="111">
        <f>+B52*0.1</f>
        <v>393.90000000000003</v>
      </c>
      <c r="C56" s="112">
        <f>$B$52+($B$52*C55)</f>
        <v>4411.68</v>
      </c>
      <c r="D56" s="111">
        <f t="shared" ref="D56:F56" si="0">$B$52+($B$52*D55)</f>
        <v>4490.46</v>
      </c>
      <c r="E56" s="112">
        <f t="shared" si="0"/>
        <v>4569.24</v>
      </c>
      <c r="F56" s="111">
        <f t="shared" si="0"/>
        <v>4648.0200000000004</v>
      </c>
      <c r="G56" s="113">
        <f>$B$52+($B$52*G55)</f>
        <v>4726.8</v>
      </c>
      <c r="J56" s="98" t="s">
        <v>103</v>
      </c>
      <c r="K56" s="99">
        <v>383.07</v>
      </c>
    </row>
    <row r="57" spans="1:13">
      <c r="A57" s="110" t="s">
        <v>104</v>
      </c>
      <c r="B57" s="111"/>
      <c r="C57" s="112">
        <f t="shared" ref="C57:G57" si="1">C56-$B$52</f>
        <v>472.68000000000029</v>
      </c>
      <c r="D57" s="111">
        <f t="shared" si="1"/>
        <v>551.46</v>
      </c>
      <c r="E57" s="112">
        <f t="shared" si="1"/>
        <v>630.23999999999978</v>
      </c>
      <c r="F57" s="111">
        <f t="shared" si="1"/>
        <v>709.02000000000044</v>
      </c>
      <c r="G57" s="113">
        <f t="shared" si="1"/>
        <v>787.80000000000018</v>
      </c>
      <c r="K57">
        <f>AVERAGE(K50:K56)</f>
        <v>382.82857142857148</v>
      </c>
      <c r="M57">
        <f>+K57*1</f>
        <v>382.82857142857148</v>
      </c>
    </row>
    <row r="58" spans="1:13">
      <c r="A58" s="110" t="s">
        <v>105</v>
      </c>
      <c r="B58" s="114"/>
      <c r="C58" s="115">
        <v>7500</v>
      </c>
      <c r="D58" s="114">
        <v>7500</v>
      </c>
      <c r="E58" s="115">
        <v>7500</v>
      </c>
      <c r="F58" s="114">
        <v>7500</v>
      </c>
      <c r="G58" s="116">
        <v>7500</v>
      </c>
    </row>
    <row r="59" spans="1:13">
      <c r="A59" s="110" t="s">
        <v>106</v>
      </c>
      <c r="B59" s="114"/>
      <c r="C59" s="115">
        <f t="shared" ref="C59:G59" si="2">C57*C58/480</f>
        <v>7385.6250000000045</v>
      </c>
      <c r="D59" s="114">
        <f t="shared" si="2"/>
        <v>8616.5625000000018</v>
      </c>
      <c r="E59" s="115">
        <f t="shared" si="2"/>
        <v>9847.4999999999964</v>
      </c>
      <c r="F59" s="114">
        <f t="shared" si="2"/>
        <v>11078.437500000007</v>
      </c>
      <c r="G59" s="116">
        <f t="shared" si="2"/>
        <v>12309.375000000002</v>
      </c>
    </row>
    <row r="60" spans="1:13">
      <c r="A60" s="110" t="s">
        <v>107</v>
      </c>
      <c r="B60" s="117">
        <f>B59-$E$40</f>
        <v>-1071.8356119791661</v>
      </c>
      <c r="C60" s="118">
        <f t="shared" ref="C60:G60" si="3">C59-$E$40</f>
        <v>6313.7893880208385</v>
      </c>
      <c r="D60" s="117">
        <f>D59-$E$40</f>
        <v>7544.7268880208358</v>
      </c>
      <c r="E60" s="118">
        <f t="shared" si="3"/>
        <v>8775.6643880208303</v>
      </c>
      <c r="F60" s="117">
        <f t="shared" si="3"/>
        <v>10006.601888020841</v>
      </c>
      <c r="G60" s="119">
        <f t="shared" si="3"/>
        <v>11237.539388020836</v>
      </c>
    </row>
    <row r="61" spans="1:13" ht="0.5" customHeight="1" thickBot="1">
      <c r="A61" s="120"/>
      <c r="B61" s="121"/>
      <c r="C61" s="122"/>
      <c r="D61" s="121"/>
      <c r="E61" s="122"/>
      <c r="F61" s="121"/>
      <c r="G61" s="123"/>
    </row>
    <row r="62" spans="1:13" ht="16" thickBot="1">
      <c r="A62" s="124"/>
      <c r="B62" s="125" t="s">
        <v>108</v>
      </c>
      <c r="C62" s="126" t="s">
        <v>108</v>
      </c>
      <c r="D62" s="125" t="s">
        <v>108</v>
      </c>
      <c r="E62" s="126" t="s">
        <v>108</v>
      </c>
      <c r="F62" s="125" t="s">
        <v>108</v>
      </c>
      <c r="G62" s="127" t="s">
        <v>109</v>
      </c>
    </row>
  </sheetData>
  <mergeCells count="4">
    <mergeCell ref="A2:B3"/>
    <mergeCell ref="C2:C3"/>
    <mergeCell ref="D2:D3"/>
    <mergeCell ref="E2:E3"/>
  </mergeCells>
  <pageMargins left="0.75" right="0.75" top="1" bottom="1" header="0.5" footer="0.5"/>
  <pageSetup orientation="portrait" horizontalDpi="4294967292" verticalDpi="4294967292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tabColor rgb="FF008000"/>
  </sheetPr>
  <dimension ref="A1:P90"/>
  <sheetViews>
    <sheetView showGridLines="0" topLeftCell="B1" zoomScale="115" zoomScaleNormal="115" zoomScalePageLayoutView="115" workbookViewId="0">
      <selection activeCell="F10" sqref="F10:H10"/>
    </sheetView>
  </sheetViews>
  <sheetFormatPr baseColWidth="10" defaultRowHeight="15" x14ac:dyDescent="0"/>
  <cols>
    <col min="1" max="1" width="32.33203125" customWidth="1"/>
    <col min="2" max="2" width="9" customWidth="1"/>
    <col min="3" max="3" width="12.83203125" bestFit="1" customWidth="1"/>
    <col min="4" max="4" width="13.83203125" bestFit="1" customWidth="1"/>
    <col min="5" max="5" width="27" bestFit="1" customWidth="1"/>
    <col min="6" max="8" width="12.5" customWidth="1"/>
    <col min="9" max="12" width="12" bestFit="1" customWidth="1"/>
    <col min="13" max="13" width="12.83203125" customWidth="1"/>
    <col min="14" max="15" width="12.5" customWidth="1"/>
  </cols>
  <sheetData>
    <row r="1" spans="1:10" ht="21" thickBot="1">
      <c r="A1" s="27" t="s">
        <v>21</v>
      </c>
      <c r="E1" t="s">
        <v>17</v>
      </c>
      <c r="F1">
        <v>550</v>
      </c>
    </row>
    <row r="2" spans="1:10" s="29" customFormat="1" thickBot="1">
      <c r="A2" s="29" t="s">
        <v>33</v>
      </c>
      <c r="C2" s="215">
        <v>100</v>
      </c>
    </row>
    <row r="3" spans="1:10" s="29" customFormat="1" ht="14">
      <c r="A3" s="225" t="s">
        <v>203</v>
      </c>
      <c r="B3" s="222" t="s">
        <v>17</v>
      </c>
      <c r="C3" s="229">
        <f>('Costos Unitarios'!$C$4-'Costos Unitarios'!D4)</f>
        <v>-82000</v>
      </c>
      <c r="D3" s="4"/>
      <c r="E3" s="4"/>
      <c r="F3" s="4"/>
      <c r="G3" s="4"/>
      <c r="H3" s="4"/>
      <c r="I3" s="4"/>
    </row>
    <row r="4" spans="1:10" s="29" customFormat="1" ht="14">
      <c r="A4" s="226" t="s">
        <v>162</v>
      </c>
      <c r="B4" s="223" t="s">
        <v>20</v>
      </c>
      <c r="C4" s="230">
        <v>0.06</v>
      </c>
      <c r="D4" s="4"/>
      <c r="E4" s="4"/>
      <c r="F4" s="4"/>
      <c r="G4" s="4"/>
      <c r="H4" s="4"/>
      <c r="I4" s="4"/>
    </row>
    <row r="5" spans="1:10" s="29" customFormat="1" ht="14">
      <c r="A5" s="226" t="s">
        <v>163</v>
      </c>
      <c r="B5" s="223"/>
      <c r="C5" s="231"/>
      <c r="D5" s="4"/>
      <c r="E5" s="4"/>
      <c r="F5" s="4"/>
      <c r="G5" s="4"/>
      <c r="H5" s="4"/>
      <c r="I5" s="4"/>
    </row>
    <row r="6" spans="1:10" s="29" customFormat="1" ht="14">
      <c r="A6" s="226" t="s">
        <v>166</v>
      </c>
      <c r="B6" s="223" t="s">
        <v>17</v>
      </c>
      <c r="C6" s="232"/>
      <c r="D6" s="4"/>
      <c r="E6" s="4"/>
      <c r="F6" s="4"/>
      <c r="G6" s="4"/>
      <c r="H6" s="4"/>
      <c r="I6" s="4"/>
    </row>
    <row r="7" spans="1:10" s="29" customFormat="1" ht="14">
      <c r="A7" s="226" t="s">
        <v>178</v>
      </c>
      <c r="B7" s="223" t="s">
        <v>17</v>
      </c>
      <c r="C7" s="233">
        <v>-100</v>
      </c>
      <c r="D7" s="4"/>
      <c r="E7" s="241" t="s">
        <v>198</v>
      </c>
      <c r="F7" s="241">
        <v>3939</v>
      </c>
      <c r="G7" s="4"/>
      <c r="H7" s="4"/>
      <c r="I7" s="4"/>
    </row>
    <row r="8" spans="1:10" s="29" customFormat="1" ht="14">
      <c r="A8" s="226" t="s">
        <v>179</v>
      </c>
      <c r="B8" s="223" t="s">
        <v>17</v>
      </c>
      <c r="C8" s="234">
        <v>0</v>
      </c>
      <c r="D8" s="4"/>
      <c r="E8" s="4"/>
      <c r="F8" s="4"/>
      <c r="G8" s="4"/>
      <c r="H8" s="4"/>
      <c r="I8" s="4"/>
    </row>
    <row r="9" spans="1:10" s="29" customFormat="1" ht="14">
      <c r="A9" s="226" t="s">
        <v>180</v>
      </c>
      <c r="B9" s="223" t="s">
        <v>17</v>
      </c>
      <c r="C9" s="234">
        <v>0</v>
      </c>
      <c r="D9" s="4"/>
      <c r="E9" s="241"/>
      <c r="F9" s="242" t="s">
        <v>190</v>
      </c>
      <c r="G9" s="243" t="s">
        <v>191</v>
      </c>
      <c r="H9" s="243" t="s">
        <v>192</v>
      </c>
      <c r="I9" s="4"/>
    </row>
    <row r="10" spans="1:10" s="29" customFormat="1" ht="14">
      <c r="A10" s="226" t="s">
        <v>181</v>
      </c>
      <c r="B10" s="223" t="s">
        <v>17</v>
      </c>
      <c r="C10" s="235"/>
      <c r="D10" s="4"/>
      <c r="E10" s="241"/>
      <c r="F10" s="244">
        <v>0.37</v>
      </c>
      <c r="G10" s="244">
        <v>0.2</v>
      </c>
      <c r="H10" s="244">
        <v>0.17</v>
      </c>
      <c r="I10" s="4"/>
    </row>
    <row r="11" spans="1:10" s="29" customFormat="1" ht="14">
      <c r="A11" s="227" t="s">
        <v>160</v>
      </c>
      <c r="B11" s="223"/>
      <c r="C11" s="236">
        <v>300</v>
      </c>
      <c r="D11" s="4"/>
      <c r="E11" s="241" t="s">
        <v>199</v>
      </c>
      <c r="F11" s="243">
        <f>+$F$7*(F10)</f>
        <v>1457.43</v>
      </c>
      <c r="G11" s="243">
        <f>+$F$7*(G10)</f>
        <v>787.80000000000007</v>
      </c>
      <c r="H11" s="243">
        <f>+$F$7*(H10)</f>
        <v>669.63</v>
      </c>
      <c r="I11" s="4"/>
    </row>
    <row r="12" spans="1:10" s="29" customFormat="1" ht="14">
      <c r="A12" s="227" t="s">
        <v>161</v>
      </c>
      <c r="B12" s="223" t="s">
        <v>17</v>
      </c>
      <c r="C12" s="237"/>
      <c r="D12" s="4"/>
      <c r="E12" s="4"/>
      <c r="F12" s="4"/>
      <c r="G12" s="4"/>
      <c r="H12" s="4"/>
      <c r="I12" s="4"/>
    </row>
    <row r="13" spans="1:10" s="29" customFormat="1" ht="14">
      <c r="A13" s="228" t="s">
        <v>128</v>
      </c>
      <c r="B13" s="224" t="s">
        <v>20</v>
      </c>
      <c r="C13" s="238">
        <v>0.12</v>
      </c>
      <c r="D13" s="4"/>
      <c r="E13" s="4"/>
      <c r="F13" s="4"/>
      <c r="G13" s="4"/>
      <c r="H13" s="4"/>
      <c r="I13" s="4"/>
    </row>
    <row r="14" spans="1:10" s="29" customFormat="1" ht="14">
      <c r="B14" s="183"/>
      <c r="D14" s="4"/>
      <c r="E14" s="4"/>
      <c r="F14" s="4"/>
      <c r="G14" s="4"/>
      <c r="H14" s="4"/>
      <c r="I14" s="4"/>
    </row>
    <row r="15" spans="1:10" s="29" customFormat="1" ht="14"/>
    <row r="16" spans="1:10" s="29" customFormat="1" ht="18">
      <c r="A16" s="189" t="s">
        <v>151</v>
      </c>
      <c r="J16" s="195"/>
    </row>
    <row r="17" spans="1:9" s="4" customFormat="1" ht="14">
      <c r="A17" s="11" t="s">
        <v>21</v>
      </c>
      <c r="B17" s="6" t="s">
        <v>16</v>
      </c>
      <c r="C17" s="6" t="s">
        <v>45</v>
      </c>
      <c r="D17" s="6" t="s">
        <v>46</v>
      </c>
      <c r="E17" s="6" t="s">
        <v>47</v>
      </c>
      <c r="F17" s="6" t="s">
        <v>48</v>
      </c>
      <c r="G17" s="6" t="s">
        <v>49</v>
      </c>
      <c r="H17" s="6" t="s">
        <v>50</v>
      </c>
    </row>
    <row r="18" spans="1:9" s="4" customFormat="1" ht="14">
      <c r="A18" s="4" t="s">
        <v>61</v>
      </c>
      <c r="B18" s="6" t="s">
        <v>17</v>
      </c>
      <c r="C18" s="6"/>
      <c r="D18" s="6"/>
      <c r="E18" s="6"/>
      <c r="F18" s="6"/>
      <c r="G18" s="6"/>
      <c r="H18" s="6"/>
    </row>
    <row r="19" spans="1:9" s="4" customFormat="1" ht="14">
      <c r="A19" s="4" t="s">
        <v>59</v>
      </c>
      <c r="B19" s="6" t="s">
        <v>17</v>
      </c>
      <c r="C19" s="6"/>
      <c r="D19" s="6"/>
      <c r="E19" s="6"/>
      <c r="F19" s="6"/>
      <c r="G19" s="6"/>
      <c r="H19" s="6"/>
    </row>
    <row r="20" spans="1:9" s="4" customFormat="1" ht="14">
      <c r="A20" s="4" t="s">
        <v>60</v>
      </c>
      <c r="B20" s="6" t="s">
        <v>17</v>
      </c>
      <c r="C20" s="6"/>
      <c r="D20" s="6"/>
      <c r="E20" s="6"/>
      <c r="F20" s="6"/>
      <c r="G20" s="6"/>
      <c r="H20" s="6"/>
    </row>
    <row r="21" spans="1:9" s="4" customFormat="1" ht="14">
      <c r="A21" s="217" t="s">
        <v>145</v>
      </c>
      <c r="B21" s="218" t="s">
        <v>17</v>
      </c>
      <c r="C21" s="6"/>
      <c r="D21" s="6">
        <f>+$C$3*$C$4*$C$2</f>
        <v>-492000</v>
      </c>
      <c r="E21" s="6">
        <f>-(-C3-'Costos Unitarios'!$E$36)*'Híbrido DELTA (2)'!$C$4*'Híbrido DELTA (2)'!$C$2</f>
        <v>-393600</v>
      </c>
      <c r="F21" s="6">
        <f>-(-$C$3-'Costos Unitarios'!$E$36*2)*'Híbrido DELTA (2)'!$C$4*'Híbrido DELTA (2)'!$C$2</f>
        <v>-295200</v>
      </c>
      <c r="G21" s="6">
        <f>-(-$C$3-'Costos Unitarios'!$E$36*3)*'Híbrido DELTA (2)'!$C$4*'Híbrido DELTA (2)'!$C$2</f>
        <v>-196800</v>
      </c>
      <c r="H21" s="6">
        <f>-(-$C$3-'Costos Unitarios'!$E$36*4)*'Híbrido DELTA (2)'!$C$4*'Híbrido DELTA (2)'!$C$2</f>
        <v>-98400</v>
      </c>
      <c r="I21" s="6">
        <f>SUM(D21:H21)</f>
        <v>-1476000</v>
      </c>
    </row>
    <row r="22" spans="1:9" s="5" customFormat="1" ht="14">
      <c r="A22" s="217" t="s">
        <v>120</v>
      </c>
      <c r="B22" s="218" t="s">
        <v>17</v>
      </c>
      <c r="C22" s="7"/>
      <c r="D22" s="6">
        <f>-'Costos Unitarios'!$E$16*12*$C$2</f>
        <v>1406250</v>
      </c>
      <c r="E22" s="6">
        <f>-'Costos Unitarios'!$E$16*12*$C$2</f>
        <v>1406250</v>
      </c>
      <c r="F22" s="6">
        <f>-'Costos Unitarios'!$E$16*12*$C$2</f>
        <v>1406250</v>
      </c>
      <c r="G22" s="6">
        <f>-'Costos Unitarios'!$E$16*12*$C$2</f>
        <v>1406250</v>
      </c>
      <c r="H22" s="6">
        <f>-'Costos Unitarios'!$E$16*12*$C$2</f>
        <v>1406250</v>
      </c>
      <c r="I22" s="6">
        <f t="shared" ref="I22:I32" si="0">SUM(D22:H22)</f>
        <v>7031250</v>
      </c>
    </row>
    <row r="23" spans="1:9" s="5" customFormat="1" ht="14">
      <c r="A23" s="217" t="s">
        <v>121</v>
      </c>
      <c r="B23" s="218" t="s">
        <v>17</v>
      </c>
      <c r="C23" s="7"/>
      <c r="D23" s="6">
        <f>-'Costos Unitarios'!$D$22*'Híbrido DELTA (2)'!$C$2</f>
        <v>-1231650</v>
      </c>
      <c r="E23" s="6">
        <f>-'Costos Unitarios'!$D$22*'Híbrido DELTA (2)'!$C$2</f>
        <v>-1231650</v>
      </c>
      <c r="F23" s="6">
        <f>-'Costos Unitarios'!$D$22*'Híbrido DELTA (2)'!$C$2</f>
        <v>-1231650</v>
      </c>
      <c r="G23" s="6">
        <f>-'Costos Unitarios'!$D$22*'Híbrido DELTA (2)'!$C$2</f>
        <v>-1231650</v>
      </c>
      <c r="H23" s="6">
        <f>-'Costos Unitarios'!$D$22*'Híbrido DELTA (2)'!$C$2</f>
        <v>-1231650</v>
      </c>
      <c r="I23" s="6">
        <f t="shared" si="0"/>
        <v>-6158250</v>
      </c>
    </row>
    <row r="24" spans="1:9" s="5" customFormat="1" ht="14">
      <c r="A24" s="217" t="s">
        <v>122</v>
      </c>
      <c r="B24" s="218" t="s">
        <v>17</v>
      </c>
      <c r="C24" s="7"/>
      <c r="D24" s="6">
        <f>-'Costos Unitarios'!$E$26*$C$2*12</f>
        <v>67634.765625</v>
      </c>
      <c r="E24" s="6">
        <f>-'Costos Unitarios'!$E$26*$C$2*12</f>
        <v>67634.765625</v>
      </c>
      <c r="F24" s="6">
        <f>-'Costos Unitarios'!$E$26*$C$2*12</f>
        <v>67634.765625</v>
      </c>
      <c r="G24" s="6">
        <f>-'Costos Unitarios'!$E$26*$C$2*12</f>
        <v>67634.765625</v>
      </c>
      <c r="H24" s="6">
        <f>-'Costos Unitarios'!$E$26*$C$2*12</f>
        <v>67634.765625</v>
      </c>
      <c r="I24" s="6">
        <f t="shared" si="0"/>
        <v>338173.828125</v>
      </c>
    </row>
    <row r="25" spans="1:9" s="5" customFormat="1" ht="14">
      <c r="A25" s="217" t="s">
        <v>123</v>
      </c>
      <c r="B25" s="218" t="s">
        <v>17</v>
      </c>
      <c r="C25" s="7"/>
      <c r="D25" s="6">
        <f>-'Costos Unitarios'!$E$31*$C$2*12</f>
        <v>111562.5</v>
      </c>
      <c r="E25" s="6">
        <f>-'Costos Unitarios'!$E$31*$C$2*12</f>
        <v>111562.5</v>
      </c>
      <c r="F25" s="6">
        <f>-'Costos Unitarios'!$E$31*$C$2*12</f>
        <v>111562.5</v>
      </c>
      <c r="G25" s="6">
        <f>-'Costos Unitarios'!$E$31*$C$2*12</f>
        <v>111562.5</v>
      </c>
      <c r="H25" s="6">
        <f>-'Costos Unitarios'!$E$31*$C$2*12</f>
        <v>111562.5</v>
      </c>
      <c r="I25" s="6">
        <f t="shared" si="0"/>
        <v>557812.5</v>
      </c>
    </row>
    <row r="26" spans="1:9" s="18" customFormat="1" ht="14">
      <c r="A26" s="217" t="s">
        <v>124</v>
      </c>
      <c r="B26" s="219" t="s">
        <v>17</v>
      </c>
      <c r="C26" s="7"/>
      <c r="D26" s="197">
        <f>-'Costos Unitarios'!$E$35*12*$C$2</f>
        <v>-1640000</v>
      </c>
      <c r="E26" s="197">
        <f>-'Costos Unitarios'!$E$35*12*$C$2</f>
        <v>-1640000</v>
      </c>
      <c r="F26" s="197">
        <f>-'Costos Unitarios'!$E$35*12*$C$2</f>
        <v>-1640000</v>
      </c>
      <c r="G26" s="197">
        <f>-'Costos Unitarios'!$E$35*12*$C$2</f>
        <v>-1640000</v>
      </c>
      <c r="H26" s="197">
        <f>-'Costos Unitarios'!$E$35*12*$C$2</f>
        <v>-1640000</v>
      </c>
      <c r="I26" s="197">
        <f t="shared" si="0"/>
        <v>-8200000</v>
      </c>
    </row>
    <row r="27" spans="1:9" s="29" customFormat="1" ht="14">
      <c r="A27" s="217" t="s">
        <v>183</v>
      </c>
      <c r="B27" s="218" t="s">
        <v>17</v>
      </c>
      <c r="D27" s="6">
        <f>-$C$8*12</f>
        <v>0</v>
      </c>
      <c r="E27" s="6">
        <f t="shared" ref="E27:H27" si="1">-$C$8*12</f>
        <v>0</v>
      </c>
      <c r="F27" s="6">
        <f t="shared" si="1"/>
        <v>0</v>
      </c>
      <c r="G27" s="6">
        <f t="shared" si="1"/>
        <v>0</v>
      </c>
      <c r="H27" s="6">
        <f t="shared" si="1"/>
        <v>0</v>
      </c>
      <c r="I27" s="6">
        <f t="shared" si="0"/>
        <v>0</v>
      </c>
    </row>
    <row r="28" spans="1:9" s="29" customFormat="1" ht="14">
      <c r="A28" s="217" t="s">
        <v>150</v>
      </c>
      <c r="B28" s="218" t="s">
        <v>17</v>
      </c>
      <c r="D28" s="6">
        <f>+$C$7*12*$C$2</f>
        <v>-120000</v>
      </c>
      <c r="E28" s="6">
        <f t="shared" ref="E28:H28" si="2">+$C$7*12*$C$2</f>
        <v>-120000</v>
      </c>
      <c r="F28" s="6">
        <f t="shared" si="2"/>
        <v>-120000</v>
      </c>
      <c r="G28" s="6">
        <f t="shared" si="2"/>
        <v>-120000</v>
      </c>
      <c r="H28" s="6">
        <f t="shared" si="2"/>
        <v>-120000</v>
      </c>
      <c r="I28" s="6">
        <f t="shared" si="0"/>
        <v>-600000</v>
      </c>
    </row>
    <row r="29" spans="1:9" s="29" customFormat="1" ht="14">
      <c r="A29" s="217" t="s">
        <v>164</v>
      </c>
      <c r="B29" s="218" t="s">
        <v>17</v>
      </c>
      <c r="D29" s="6">
        <f>$C$6*$C$5*$C$2*12</f>
        <v>0</v>
      </c>
      <c r="E29" s="6">
        <f>$C$6*$C$5*$C$2*12</f>
        <v>0</v>
      </c>
      <c r="F29" s="6">
        <f>$C$6*$C$5*$C$2*12</f>
        <v>0</v>
      </c>
      <c r="G29" s="6">
        <f>$C$6*$C$5*$C$2*12</f>
        <v>0</v>
      </c>
      <c r="H29" s="6">
        <f>$C$6*$C$5*$C$2*12</f>
        <v>0</v>
      </c>
      <c r="I29" s="6">
        <f t="shared" si="0"/>
        <v>0</v>
      </c>
    </row>
    <row r="30" spans="1:9" s="29" customFormat="1" ht="14">
      <c r="A30" s="217" t="s">
        <v>182</v>
      </c>
      <c r="B30" s="218"/>
      <c r="D30" s="6">
        <f>$C$9*12</f>
        <v>0</v>
      </c>
      <c r="E30" s="6">
        <f t="shared" ref="E30:H30" si="3">$C$9*12</f>
        <v>0</v>
      </c>
      <c r="F30" s="6">
        <f t="shared" si="3"/>
        <v>0</v>
      </c>
      <c r="G30" s="6">
        <f t="shared" si="3"/>
        <v>0</v>
      </c>
      <c r="H30" s="6">
        <f t="shared" si="3"/>
        <v>0</v>
      </c>
      <c r="I30" s="6">
        <f t="shared" si="0"/>
        <v>0</v>
      </c>
    </row>
    <row r="31" spans="1:9" s="187" customFormat="1" ht="14">
      <c r="A31" s="185" t="s">
        <v>127</v>
      </c>
      <c r="B31" s="191" t="s">
        <v>17</v>
      </c>
      <c r="D31" s="188">
        <f>SUM(D18:D29)</f>
        <v>-1898202.734375</v>
      </c>
      <c r="E31" s="188">
        <f t="shared" ref="E31:H31" si="4">SUM(E18:E29)</f>
        <v>-1799802.734375</v>
      </c>
      <c r="F31" s="188">
        <f t="shared" si="4"/>
        <v>-1701402.734375</v>
      </c>
      <c r="G31" s="188">
        <f t="shared" si="4"/>
        <v>-1603002.734375</v>
      </c>
      <c r="H31" s="188">
        <f t="shared" si="4"/>
        <v>-1504602.734375</v>
      </c>
      <c r="I31" s="188">
        <f t="shared" si="0"/>
        <v>-8507013.671875</v>
      </c>
    </row>
    <row r="32" spans="1:9" s="4" customFormat="1" thickBot="1">
      <c r="A32" s="4" t="s">
        <v>125</v>
      </c>
      <c r="B32" s="6" t="s">
        <v>17</v>
      </c>
      <c r="D32" s="4">
        <f>$F$11*$C$2*12</f>
        <v>1748916</v>
      </c>
      <c r="E32" s="4">
        <f t="shared" ref="E32:H32" si="5">$F$11*$C$2*12</f>
        <v>1748916</v>
      </c>
      <c r="F32" s="4">
        <f t="shared" si="5"/>
        <v>1748916</v>
      </c>
      <c r="G32" s="4">
        <f t="shared" si="5"/>
        <v>1748916</v>
      </c>
      <c r="H32" s="4">
        <f t="shared" si="5"/>
        <v>1748916</v>
      </c>
      <c r="I32" s="4">
        <f t="shared" si="0"/>
        <v>8744580</v>
      </c>
    </row>
    <row r="33" spans="1:14" s="170" customFormat="1" thickBot="1">
      <c r="A33" s="170" t="s">
        <v>126</v>
      </c>
      <c r="B33" s="192" t="s">
        <v>17</v>
      </c>
      <c r="D33" s="171">
        <f>D32+D31</f>
        <v>-149286.734375</v>
      </c>
      <c r="E33" s="171">
        <f t="shared" ref="E33:H33" si="6">E32+E31</f>
        <v>-50886.734375</v>
      </c>
      <c r="F33" s="171">
        <f t="shared" si="6"/>
        <v>47513.265625</v>
      </c>
      <c r="G33" s="171">
        <f t="shared" si="6"/>
        <v>145913.265625</v>
      </c>
      <c r="H33" s="171">
        <f t="shared" si="6"/>
        <v>244313.265625</v>
      </c>
    </row>
    <row r="34" spans="1:14" s="29" customFormat="1" ht="14">
      <c r="C34" s="29">
        <v>0</v>
      </c>
      <c r="D34" s="29">
        <v>1</v>
      </c>
      <c r="E34" s="29">
        <v>2</v>
      </c>
      <c r="F34" s="29">
        <v>3</v>
      </c>
      <c r="G34" s="29">
        <v>4</v>
      </c>
      <c r="H34" s="29">
        <v>5</v>
      </c>
    </row>
    <row r="35" spans="1:14" s="195" customFormat="1" ht="14">
      <c r="D35" s="195">
        <f>(D33)/(1+$C$13)^D34</f>
        <v>-133291.72712053571</v>
      </c>
      <c r="E35" s="195">
        <f>(E33)/(1+$C$13)^E34</f>
        <v>-40566.593092315044</v>
      </c>
      <c r="F35" s="195">
        <f>(F33)/(1+$C$13)^F34</f>
        <v>33819.003980986919</v>
      </c>
      <c r="G35" s="195">
        <f>(G33)/(1+$C$13)^G34</f>
        <v>92730.518183773704</v>
      </c>
      <c r="H35" s="195">
        <f>(H33)/(1+$C$13)^H34</f>
        <v>138629.90812393668</v>
      </c>
    </row>
    <row r="36" spans="1:14" s="29" customFormat="1" thickBot="1"/>
    <row r="37" spans="1:14" ht="16" thickBot="1">
      <c r="C37" s="216" t="s">
        <v>132</v>
      </c>
      <c r="D37" s="239">
        <f>SUM(D35:H35)-C18</f>
        <v>91321.110075846547</v>
      </c>
    </row>
    <row r="39" spans="1:14" ht="18">
      <c r="A39" s="189" t="s">
        <v>152</v>
      </c>
    </row>
    <row r="40" spans="1:14" s="4" customFormat="1" ht="14">
      <c r="A40" s="11" t="s">
        <v>21</v>
      </c>
      <c r="B40" s="6" t="s">
        <v>16</v>
      </c>
      <c r="C40" s="6" t="s">
        <v>45</v>
      </c>
      <c r="D40" s="6" t="s">
        <v>46</v>
      </c>
      <c r="E40" s="6" t="s">
        <v>47</v>
      </c>
      <c r="F40" s="6" t="s">
        <v>48</v>
      </c>
      <c r="G40" s="6" t="s">
        <v>49</v>
      </c>
      <c r="H40" s="6" t="s">
        <v>50</v>
      </c>
      <c r="I40" s="6" t="s">
        <v>51</v>
      </c>
      <c r="J40" s="6" t="s">
        <v>52</v>
      </c>
      <c r="K40" s="6" t="s">
        <v>53</v>
      </c>
      <c r="L40" s="6" t="s">
        <v>54</v>
      </c>
      <c r="M40" s="6" t="s">
        <v>55</v>
      </c>
    </row>
    <row r="41" spans="1:14" s="4" customFormat="1" ht="14">
      <c r="A41" s="4" t="s">
        <v>61</v>
      </c>
      <c r="B41" s="6" t="s">
        <v>17</v>
      </c>
      <c r="C41" s="6">
        <v>0</v>
      </c>
      <c r="D41" s="6"/>
      <c r="E41" s="6"/>
      <c r="F41" s="6"/>
      <c r="G41" s="6"/>
      <c r="H41" s="6"/>
    </row>
    <row r="42" spans="1:14" s="4" customFormat="1" ht="14">
      <c r="A42" s="4" t="s">
        <v>59</v>
      </c>
      <c r="B42" s="6" t="s">
        <v>17</v>
      </c>
      <c r="C42" s="6"/>
      <c r="D42" s="6"/>
      <c r="E42" s="6"/>
      <c r="F42" s="6"/>
      <c r="G42" s="6"/>
      <c r="H42" s="6"/>
    </row>
    <row r="43" spans="1:14" s="4" customFormat="1" ht="14">
      <c r="A43" s="4" t="s">
        <v>60</v>
      </c>
      <c r="B43" s="6" t="s">
        <v>17</v>
      </c>
      <c r="C43" s="6"/>
      <c r="D43" s="6"/>
      <c r="E43" s="6"/>
      <c r="F43" s="6"/>
      <c r="G43" s="6"/>
      <c r="H43" s="6"/>
    </row>
    <row r="44" spans="1:14" s="4" customFormat="1" ht="14">
      <c r="A44" s="217" t="s">
        <v>145</v>
      </c>
      <c r="B44" s="218" t="s">
        <v>17</v>
      </c>
      <c r="C44" s="6"/>
      <c r="D44" s="6">
        <f>+$C$3*$C$4*$C$2</f>
        <v>-492000</v>
      </c>
      <c r="E44" s="6">
        <f>-(-$C$3-'Costos Unitarios'!$E$37)*'Híbrido DELTA (2)'!$C$4*'Híbrido DELTA (2)'!$C$2</f>
        <v>-442800</v>
      </c>
      <c r="F44" s="6">
        <f>-(-$C$3-'Costos Unitarios'!$E$37*F90)*'Híbrido DELTA (2)'!$C$4*'Híbrido DELTA (2)'!$C$2</f>
        <v>-393600</v>
      </c>
      <c r="G44" s="6">
        <f>-(-$C$3-'Costos Unitarios'!$E$37*G90)*'Híbrido DELTA (2)'!$C$4*'Híbrido DELTA (2)'!$C$2</f>
        <v>-344400</v>
      </c>
      <c r="H44" s="6">
        <f>-(-$C$3-'Costos Unitarios'!$E$37*H90)*'Híbrido DELTA (2)'!$C$4*'Híbrido DELTA (2)'!$C$2</f>
        <v>-295200</v>
      </c>
      <c r="I44" s="6">
        <f>-(-$C$3-'Costos Unitarios'!$E$37*I90)*'Híbrido DELTA (2)'!$C$4*'Híbrido DELTA (2)'!$C$2</f>
        <v>-246000</v>
      </c>
      <c r="J44" s="6">
        <f>-(-$C$3-'Costos Unitarios'!$E$37*J90)*'Híbrido DELTA (2)'!$C$4*'Híbrido DELTA (2)'!$C$2</f>
        <v>-196800</v>
      </c>
      <c r="K44" s="6">
        <f>-(-$C$3-'Costos Unitarios'!$E$37*K90)*'Híbrido DELTA (2)'!$C$4*'Híbrido DELTA (2)'!$C$2</f>
        <v>-147600</v>
      </c>
      <c r="L44" s="6">
        <f>-(-$C$3-'Costos Unitarios'!$E$37*L90)*'Híbrido DELTA (2)'!$C$4*'Híbrido DELTA (2)'!$C$2</f>
        <v>-98400</v>
      </c>
      <c r="M44" s="6">
        <f>-(-$C$3-'Costos Unitarios'!$E$37*M90)*'Híbrido DELTA (2)'!$C$4*'Híbrido DELTA (2)'!$C$2</f>
        <v>-49200</v>
      </c>
      <c r="N44" s="4">
        <f>SUM(D44:M44)</f>
        <v>-2706000</v>
      </c>
    </row>
    <row r="45" spans="1:14" s="5" customFormat="1" ht="14">
      <c r="A45" s="217" t="s">
        <v>120</v>
      </c>
      <c r="B45" s="218" t="s">
        <v>17</v>
      </c>
      <c r="C45" s="7"/>
      <c r="D45" s="6">
        <f>-'Costos Unitarios'!$E$16*12*$C$2</f>
        <v>1406250</v>
      </c>
      <c r="E45" s="6">
        <f>-'Costos Unitarios'!$E$16*12*$C$2</f>
        <v>1406250</v>
      </c>
      <c r="F45" s="6">
        <f>-'Costos Unitarios'!$E$16*12*$C$2</f>
        <v>1406250</v>
      </c>
      <c r="G45" s="6">
        <f>-'Costos Unitarios'!$E$16*12*$C$2</f>
        <v>1406250</v>
      </c>
      <c r="H45" s="6">
        <f>-'Costos Unitarios'!$E$16*12*$C$2</f>
        <v>1406250</v>
      </c>
      <c r="I45" s="6">
        <f>-'Costos Unitarios'!$E$16*12*$C$2</f>
        <v>1406250</v>
      </c>
      <c r="J45" s="6">
        <f>-'Costos Unitarios'!$E$16*12*$C$2</f>
        <v>1406250</v>
      </c>
      <c r="K45" s="6">
        <f>-'Costos Unitarios'!$E$16*12*$C$2</f>
        <v>1406250</v>
      </c>
      <c r="L45" s="6">
        <f>-'Costos Unitarios'!$E$16*12*$C$2</f>
        <v>1406250</v>
      </c>
      <c r="M45" s="6">
        <f>-'Costos Unitarios'!$E$16*12*$C$2</f>
        <v>1406250</v>
      </c>
      <c r="N45" s="4">
        <f t="shared" ref="N45:N53" si="7">SUM(D45:M45)</f>
        <v>14062500</v>
      </c>
    </row>
    <row r="46" spans="1:14" s="5" customFormat="1" ht="14">
      <c r="A46" s="217" t="s">
        <v>121</v>
      </c>
      <c r="B46" s="218" t="s">
        <v>17</v>
      </c>
      <c r="C46" s="7"/>
      <c r="D46" s="6">
        <f>-'Costos Unitarios'!$D$22*'Híbrido DELTA (2)'!$C$2</f>
        <v>-1231650</v>
      </c>
      <c r="E46" s="6">
        <f>-'Costos Unitarios'!$D$22*'Híbrido DELTA (2)'!$C$2</f>
        <v>-1231650</v>
      </c>
      <c r="F46" s="6">
        <f>-'Costos Unitarios'!$D$22*'Híbrido DELTA (2)'!$C$2</f>
        <v>-1231650</v>
      </c>
      <c r="G46" s="6">
        <f>-'Costos Unitarios'!$D$22*'Híbrido DELTA (2)'!$C$2</f>
        <v>-1231650</v>
      </c>
      <c r="H46" s="6">
        <f>-'Costos Unitarios'!$D$22*'Híbrido DELTA (2)'!$C$2</f>
        <v>-1231650</v>
      </c>
      <c r="I46" s="6">
        <f>-'Costos Unitarios'!$D$22*'Híbrido DELTA (2)'!$C$2</f>
        <v>-1231650</v>
      </c>
      <c r="J46" s="6">
        <f>-'Costos Unitarios'!$D$22*'Híbrido DELTA (2)'!$C$2</f>
        <v>-1231650</v>
      </c>
      <c r="K46" s="6">
        <f>-'Costos Unitarios'!$D$22*'Híbrido DELTA (2)'!$C$2</f>
        <v>-1231650</v>
      </c>
      <c r="L46" s="6">
        <f>-'Costos Unitarios'!$D$22*'Híbrido DELTA (2)'!$C$2</f>
        <v>-1231650</v>
      </c>
      <c r="M46" s="6">
        <f>-'Costos Unitarios'!$D$22*'Híbrido DELTA (2)'!$C$2</f>
        <v>-1231650</v>
      </c>
      <c r="N46" s="4">
        <f t="shared" si="7"/>
        <v>-12316500</v>
      </c>
    </row>
    <row r="47" spans="1:14" s="5" customFormat="1" ht="14">
      <c r="A47" s="217" t="s">
        <v>122</v>
      </c>
      <c r="B47" s="218" t="s">
        <v>17</v>
      </c>
      <c r="C47" s="7"/>
      <c r="D47" s="6">
        <f>-'Costos Unitarios'!$E$26*$C$2*12</f>
        <v>67634.765625</v>
      </c>
      <c r="E47" s="6">
        <f>-'Costos Unitarios'!$E$26*$C$2*12</f>
        <v>67634.765625</v>
      </c>
      <c r="F47" s="6">
        <f>-'Costos Unitarios'!$E$26*$C$2*12</f>
        <v>67634.765625</v>
      </c>
      <c r="G47" s="6">
        <f>-'Costos Unitarios'!$E$26*$C$2*12</f>
        <v>67634.765625</v>
      </c>
      <c r="H47" s="6">
        <f>-'Costos Unitarios'!$E$26*$C$2*12</f>
        <v>67634.765625</v>
      </c>
      <c r="I47" s="6">
        <f>-'Costos Unitarios'!$E$26*$C$2*12</f>
        <v>67634.765625</v>
      </c>
      <c r="J47" s="6">
        <f>-'Costos Unitarios'!$E$26*$C$2*12</f>
        <v>67634.765625</v>
      </c>
      <c r="K47" s="6">
        <f>-'Costos Unitarios'!$E$26*$C$2*12</f>
        <v>67634.765625</v>
      </c>
      <c r="L47" s="6">
        <f>-'Costos Unitarios'!$E$26*$C$2*12</f>
        <v>67634.765625</v>
      </c>
      <c r="M47" s="6">
        <f>-'Costos Unitarios'!$E$26*$C$2*12</f>
        <v>67634.765625</v>
      </c>
      <c r="N47" s="4">
        <f t="shared" si="7"/>
        <v>676347.65625</v>
      </c>
    </row>
    <row r="48" spans="1:14" s="5" customFormat="1" ht="14">
      <c r="A48" s="217" t="s">
        <v>123</v>
      </c>
      <c r="B48" s="218" t="s">
        <v>17</v>
      </c>
      <c r="C48" s="7"/>
      <c r="D48" s="6">
        <f>-'Costos Unitarios'!$E$31*$C$2*12</f>
        <v>111562.5</v>
      </c>
      <c r="E48" s="6">
        <f>-'Costos Unitarios'!$E$31*$C$2*12</f>
        <v>111562.5</v>
      </c>
      <c r="F48" s="6">
        <f>-'Costos Unitarios'!$E$31*$C$2*12</f>
        <v>111562.5</v>
      </c>
      <c r="G48" s="6">
        <f>-'Costos Unitarios'!$E$31*$C$2*12</f>
        <v>111562.5</v>
      </c>
      <c r="H48" s="6">
        <f>-'Costos Unitarios'!$E$31*$C$2*12</f>
        <v>111562.5</v>
      </c>
      <c r="I48" s="6">
        <f>-'Costos Unitarios'!$E$31*$C$2*12</f>
        <v>111562.5</v>
      </c>
      <c r="J48" s="6">
        <f>-'Costos Unitarios'!$E$31*$C$2*12</f>
        <v>111562.5</v>
      </c>
      <c r="K48" s="6">
        <f>-'Costos Unitarios'!$E$31*$C$2*12</f>
        <v>111562.5</v>
      </c>
      <c r="L48" s="6">
        <f>-'Costos Unitarios'!$E$31*$C$2*12</f>
        <v>111562.5</v>
      </c>
      <c r="M48" s="6">
        <f>-'Costos Unitarios'!$E$31*$C$2*12</f>
        <v>111562.5</v>
      </c>
      <c r="N48" s="4">
        <f t="shared" si="7"/>
        <v>1115625</v>
      </c>
    </row>
    <row r="49" spans="1:15" s="18" customFormat="1" ht="14">
      <c r="A49" s="217" t="s">
        <v>189</v>
      </c>
      <c r="B49" s="219" t="s">
        <v>17</v>
      </c>
      <c r="C49" s="7"/>
      <c r="D49" s="197">
        <f>-'Costos Unitarios'!$E$37*$C$2</f>
        <v>-820000</v>
      </c>
      <c r="E49" s="197">
        <f>-'Costos Unitarios'!$E$37*$C$2</f>
        <v>-820000</v>
      </c>
      <c r="F49" s="197">
        <f>-'Costos Unitarios'!$E$37*$C$2</f>
        <v>-820000</v>
      </c>
      <c r="G49" s="197">
        <f>-'Costos Unitarios'!$E$37*$C$2</f>
        <v>-820000</v>
      </c>
      <c r="H49" s="197">
        <f>-'Costos Unitarios'!$E$37*$C$2</f>
        <v>-820000</v>
      </c>
      <c r="I49" s="197">
        <f>-'Costos Unitarios'!$E$37*$C$2</f>
        <v>-820000</v>
      </c>
      <c r="J49" s="197">
        <f>-'Costos Unitarios'!$E$37*$C$2</f>
        <v>-820000</v>
      </c>
      <c r="K49" s="197">
        <f>-'Costos Unitarios'!$E$37*$C$2</f>
        <v>-820000</v>
      </c>
      <c r="L49" s="197">
        <f>-'Costos Unitarios'!$E$37*$C$2</f>
        <v>-820000</v>
      </c>
      <c r="M49" s="197">
        <f>-'Costos Unitarios'!$E$37*$C$2</f>
        <v>-820000</v>
      </c>
      <c r="N49" s="4">
        <f t="shared" si="7"/>
        <v>-8200000</v>
      </c>
    </row>
    <row r="50" spans="1:15" s="29" customFormat="1" ht="14">
      <c r="A50" s="217" t="s">
        <v>183</v>
      </c>
      <c r="B50" s="218" t="s">
        <v>17</v>
      </c>
      <c r="D50" s="6">
        <f>-$C$8*12</f>
        <v>0</v>
      </c>
      <c r="E50" s="6">
        <f t="shared" ref="E50:M50" si="8">-$C$8*12</f>
        <v>0</v>
      </c>
      <c r="F50" s="6">
        <f t="shared" si="8"/>
        <v>0</v>
      </c>
      <c r="G50" s="6">
        <f t="shared" si="8"/>
        <v>0</v>
      </c>
      <c r="H50" s="6">
        <f t="shared" si="8"/>
        <v>0</v>
      </c>
      <c r="I50" s="6">
        <f>-$C$8*12</f>
        <v>0</v>
      </c>
      <c r="J50" s="6">
        <f t="shared" si="8"/>
        <v>0</v>
      </c>
      <c r="K50" s="6">
        <f t="shared" si="8"/>
        <v>0</v>
      </c>
      <c r="L50" s="6">
        <f t="shared" si="8"/>
        <v>0</v>
      </c>
      <c r="M50" s="6">
        <f t="shared" si="8"/>
        <v>0</v>
      </c>
      <c r="N50" s="4">
        <f t="shared" si="7"/>
        <v>0</v>
      </c>
    </row>
    <row r="51" spans="1:15" s="29" customFormat="1" ht="14">
      <c r="A51" s="217" t="s">
        <v>150</v>
      </c>
      <c r="B51" s="218" t="s">
        <v>17</v>
      </c>
      <c r="D51" s="6">
        <f>+$C$7*12*$C$2</f>
        <v>-120000</v>
      </c>
      <c r="E51" s="6">
        <f t="shared" ref="E51:M51" si="9">+$C$7*12*$C$2</f>
        <v>-120000</v>
      </c>
      <c r="F51" s="6">
        <f t="shared" si="9"/>
        <v>-120000</v>
      </c>
      <c r="G51" s="6">
        <f t="shared" si="9"/>
        <v>-120000</v>
      </c>
      <c r="H51" s="6">
        <f t="shared" si="9"/>
        <v>-120000</v>
      </c>
      <c r="I51" s="6">
        <f>+$C$7*12*$C$2</f>
        <v>-120000</v>
      </c>
      <c r="J51" s="6">
        <f t="shared" si="9"/>
        <v>-120000</v>
      </c>
      <c r="K51" s="6">
        <f t="shared" si="9"/>
        <v>-120000</v>
      </c>
      <c r="L51" s="6">
        <f t="shared" si="9"/>
        <v>-120000</v>
      </c>
      <c r="M51" s="6">
        <f t="shared" si="9"/>
        <v>-120000</v>
      </c>
      <c r="N51" s="4">
        <f t="shared" si="7"/>
        <v>-1200000</v>
      </c>
    </row>
    <row r="52" spans="1:15" s="29" customFormat="1" ht="14">
      <c r="A52" s="217" t="s">
        <v>164</v>
      </c>
      <c r="B52" s="218" t="s">
        <v>17</v>
      </c>
      <c r="D52" s="6">
        <f>$C$6*$C$5*$C$2*12</f>
        <v>0</v>
      </c>
      <c r="E52" s="6">
        <f t="shared" ref="E52:M52" si="10">$C$6*$C$5*$C$2*12</f>
        <v>0</v>
      </c>
      <c r="F52" s="6">
        <f t="shared" si="10"/>
        <v>0</v>
      </c>
      <c r="G52" s="6">
        <f t="shared" si="10"/>
        <v>0</v>
      </c>
      <c r="H52" s="6">
        <f t="shared" si="10"/>
        <v>0</v>
      </c>
      <c r="I52" s="6">
        <f>$C$6*$C$5*$C$2*12</f>
        <v>0</v>
      </c>
      <c r="J52" s="6">
        <f t="shared" si="10"/>
        <v>0</v>
      </c>
      <c r="K52" s="6">
        <f t="shared" si="10"/>
        <v>0</v>
      </c>
      <c r="L52" s="6">
        <f t="shared" si="10"/>
        <v>0</v>
      </c>
      <c r="M52" s="6">
        <f t="shared" si="10"/>
        <v>0</v>
      </c>
      <c r="N52" s="4">
        <f t="shared" si="7"/>
        <v>0</v>
      </c>
    </row>
    <row r="53" spans="1:15" s="29" customFormat="1" ht="14">
      <c r="A53" s="217" t="s">
        <v>182</v>
      </c>
      <c r="B53" s="218"/>
      <c r="D53" s="6">
        <f>$C$9*12</f>
        <v>0</v>
      </c>
      <c r="E53" s="6">
        <f t="shared" ref="E53:M53" si="11">$C$9*12</f>
        <v>0</v>
      </c>
      <c r="F53" s="6">
        <f t="shared" si="11"/>
        <v>0</v>
      </c>
      <c r="G53" s="6">
        <f t="shared" si="11"/>
        <v>0</v>
      </c>
      <c r="H53" s="6">
        <f t="shared" si="11"/>
        <v>0</v>
      </c>
      <c r="I53" s="6">
        <f>$C$9*12</f>
        <v>0</v>
      </c>
      <c r="J53" s="6">
        <f t="shared" si="11"/>
        <v>0</v>
      </c>
      <c r="K53" s="6">
        <f t="shared" si="11"/>
        <v>0</v>
      </c>
      <c r="L53" s="6">
        <f t="shared" si="11"/>
        <v>0</v>
      </c>
      <c r="M53" s="6">
        <f t="shared" si="11"/>
        <v>0</v>
      </c>
      <c r="N53" s="4">
        <f t="shared" si="7"/>
        <v>0</v>
      </c>
    </row>
    <row r="54" spans="1:15" s="187" customFormat="1" ht="14">
      <c r="A54" s="185" t="s">
        <v>127</v>
      </c>
      <c r="B54" s="191" t="s">
        <v>17</v>
      </c>
      <c r="D54" s="188">
        <f>SUM(D41:D52)</f>
        <v>-1078202.734375</v>
      </c>
      <c r="E54" s="188">
        <f t="shared" ref="E54:H54" si="12">SUM(E41:E52)</f>
        <v>-1029002.734375</v>
      </c>
      <c r="F54" s="188">
        <f t="shared" si="12"/>
        <v>-979802.734375</v>
      </c>
      <c r="G54" s="188">
        <f t="shared" si="12"/>
        <v>-930602.734375</v>
      </c>
      <c r="H54" s="188">
        <f t="shared" si="12"/>
        <v>-881402.734375</v>
      </c>
      <c r="I54" s="188">
        <f>SUM(I41:I52)</f>
        <v>-832202.734375</v>
      </c>
      <c r="J54" s="188">
        <f t="shared" ref="J54:M54" si="13">SUM(J41:J52)</f>
        <v>-783002.734375</v>
      </c>
      <c r="K54" s="188">
        <f t="shared" si="13"/>
        <v>-733802.734375</v>
      </c>
      <c r="L54" s="188">
        <f t="shared" si="13"/>
        <v>-684602.734375</v>
      </c>
      <c r="M54" s="188">
        <f t="shared" si="13"/>
        <v>-635402.734375</v>
      </c>
    </row>
    <row r="55" spans="1:15" s="4" customFormat="1" thickBot="1">
      <c r="A55" s="4" t="s">
        <v>125</v>
      </c>
      <c r="B55" s="6" t="s">
        <v>17</v>
      </c>
      <c r="D55" s="4">
        <f t="shared" ref="D55:M55" si="14">$G$11*$C$2*12</f>
        <v>945360</v>
      </c>
      <c r="E55" s="4">
        <f t="shared" si="14"/>
        <v>945360</v>
      </c>
      <c r="F55" s="4">
        <f t="shared" si="14"/>
        <v>945360</v>
      </c>
      <c r="G55" s="4">
        <f t="shared" si="14"/>
        <v>945360</v>
      </c>
      <c r="H55" s="4">
        <f t="shared" si="14"/>
        <v>945360</v>
      </c>
      <c r="I55" s="4">
        <f t="shared" si="14"/>
        <v>945360</v>
      </c>
      <c r="J55" s="4">
        <f t="shared" si="14"/>
        <v>945360</v>
      </c>
      <c r="K55" s="4">
        <f t="shared" si="14"/>
        <v>945360</v>
      </c>
      <c r="L55" s="4">
        <f t="shared" si="14"/>
        <v>945360</v>
      </c>
      <c r="M55" s="4">
        <f t="shared" si="14"/>
        <v>945360</v>
      </c>
    </row>
    <row r="56" spans="1:15" s="170" customFormat="1" thickBot="1">
      <c r="A56" s="170" t="s">
        <v>126</v>
      </c>
      <c r="B56" s="192" t="s">
        <v>17</v>
      </c>
      <c r="D56" s="171">
        <f>D55+D54</f>
        <v>-132842.734375</v>
      </c>
      <c r="E56" s="171">
        <f t="shared" ref="E56:H56" si="15">E55+E54</f>
        <v>-83642.734375</v>
      </c>
      <c r="F56" s="171">
        <f t="shared" si="15"/>
        <v>-34442.734375</v>
      </c>
      <c r="G56" s="171">
        <f t="shared" si="15"/>
        <v>14757.265625</v>
      </c>
      <c r="H56" s="171">
        <f t="shared" si="15"/>
        <v>63957.265625</v>
      </c>
      <c r="I56" s="171">
        <f>I55+I54</f>
        <v>113157.265625</v>
      </c>
      <c r="J56" s="171">
        <f t="shared" ref="J56" si="16">J55+J54</f>
        <v>162357.265625</v>
      </c>
      <c r="K56" s="171">
        <f t="shared" ref="K56" si="17">K55+K54</f>
        <v>211557.265625</v>
      </c>
      <c r="L56" s="171">
        <f t="shared" ref="L56" si="18">L55+L54</f>
        <v>260757.265625</v>
      </c>
      <c r="M56" s="171">
        <f t="shared" ref="M56" si="19">M55+M54</f>
        <v>309957.265625</v>
      </c>
    </row>
    <row r="57" spans="1:15" s="29" customFormat="1" ht="14">
      <c r="C57" s="29">
        <v>0</v>
      </c>
      <c r="D57" s="29">
        <v>1</v>
      </c>
      <c r="E57" s="29">
        <v>2</v>
      </c>
      <c r="F57" s="29">
        <v>3</v>
      </c>
      <c r="G57" s="29">
        <v>4</v>
      </c>
      <c r="H57" s="29">
        <v>5</v>
      </c>
      <c r="I57" s="29">
        <v>6</v>
      </c>
      <c r="J57" s="29">
        <v>7</v>
      </c>
      <c r="K57" s="29">
        <v>8</v>
      </c>
      <c r="L57" s="29">
        <v>9</v>
      </c>
      <c r="M57" s="29">
        <v>10</v>
      </c>
    </row>
    <row r="58" spans="1:15" s="195" customFormat="1" ht="14">
      <c r="D58" s="195">
        <f>(D56)/(1+$C$13)^D57</f>
        <v>-118609.58426339284</v>
      </c>
      <c r="E58" s="195">
        <f t="shared" ref="E58:H58" si="20">(E56)/(1+$C$13)^E57</f>
        <v>-66679.475745376272</v>
      </c>
      <c r="F58" s="195">
        <f t="shared" si="20"/>
        <v>-24515.658008808987</v>
      </c>
      <c r="G58" s="195">
        <f t="shared" si="20"/>
        <v>9378.5090925096702</v>
      </c>
      <c r="H58" s="195">
        <f t="shared" si="20"/>
        <v>36291.070133952999</v>
      </c>
      <c r="I58" s="195">
        <f>(I56)/(1+$C$13)^I57</f>
        <v>57328.992352953639</v>
      </c>
      <c r="J58" s="195">
        <f t="shared" ref="J58" si="21">(J56)/(1+$C$13)^J57</f>
        <v>73442.181709712328</v>
      </c>
      <c r="K58" s="195">
        <f t="shared" ref="K58" si="22">(K56)/(1+$C$13)^K57</f>
        <v>85444.431343113829</v>
      </c>
      <c r="L58" s="195">
        <f t="shared" ref="L58" si="23">(L56)/(1+$C$13)^L57</f>
        <v>94031.684071159631</v>
      </c>
      <c r="M58" s="195">
        <f t="shared" ref="M58" si="24">(M56)/(1+$C$13)^M57</f>
        <v>99797.944018083334</v>
      </c>
    </row>
    <row r="59" spans="1:15" s="29" customFormat="1" thickBot="1"/>
    <row r="60" spans="1:15" ht="16" thickBot="1">
      <c r="C60" s="216" t="s">
        <v>131</v>
      </c>
      <c r="D60" s="239">
        <f>SUM(D58:M58)-C41</f>
        <v>245910.09470390732</v>
      </c>
    </row>
    <row r="62" spans="1:15" ht="18">
      <c r="A62" s="189" t="s">
        <v>154</v>
      </c>
    </row>
    <row r="63" spans="1:15" s="4" customFormat="1" ht="14">
      <c r="A63" s="11" t="s">
        <v>21</v>
      </c>
      <c r="B63" s="6" t="s">
        <v>16</v>
      </c>
      <c r="C63" s="6" t="s">
        <v>45</v>
      </c>
      <c r="D63" s="6" t="s">
        <v>46</v>
      </c>
      <c r="E63" s="6" t="s">
        <v>47</v>
      </c>
      <c r="F63" s="6" t="s">
        <v>48</v>
      </c>
      <c r="G63" s="6" t="s">
        <v>49</v>
      </c>
      <c r="H63" s="6" t="s">
        <v>50</v>
      </c>
      <c r="I63" s="6" t="s">
        <v>51</v>
      </c>
      <c r="J63" s="6" t="s">
        <v>52</v>
      </c>
      <c r="K63" s="6" t="s">
        <v>53</v>
      </c>
      <c r="L63" s="6" t="s">
        <v>54</v>
      </c>
      <c r="M63" s="6" t="s">
        <v>55</v>
      </c>
      <c r="N63" s="6" t="s">
        <v>56</v>
      </c>
      <c r="O63" s="6" t="s">
        <v>57</v>
      </c>
    </row>
    <row r="64" spans="1:15" s="4" customFormat="1" ht="14">
      <c r="A64" s="4" t="s">
        <v>61</v>
      </c>
      <c r="B64" s="6" t="s">
        <v>17</v>
      </c>
      <c r="C64" s="6">
        <v>0</v>
      </c>
      <c r="D64" s="6"/>
      <c r="E64" s="6"/>
      <c r="F64" s="6"/>
      <c r="G64" s="6"/>
      <c r="H64" s="6"/>
      <c r="I64" s="6"/>
      <c r="J64" s="6"/>
      <c r="K64" s="6"/>
      <c r="L64" s="6"/>
      <c r="M64" s="6"/>
    </row>
    <row r="65" spans="1:16" s="4" customFormat="1" ht="14">
      <c r="A65" s="4" t="s">
        <v>59</v>
      </c>
      <c r="B65" s="6" t="s">
        <v>17</v>
      </c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</row>
    <row r="66" spans="1:16" s="4" customFormat="1" ht="14">
      <c r="A66" s="220" t="s">
        <v>60</v>
      </c>
      <c r="B66" s="221" t="s">
        <v>17</v>
      </c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</row>
    <row r="67" spans="1:16" s="4" customFormat="1" ht="14">
      <c r="A67" s="217" t="s">
        <v>145</v>
      </c>
      <c r="B67" s="218" t="s">
        <v>17</v>
      </c>
      <c r="C67" s="6"/>
      <c r="D67" s="6">
        <f>+$C$3*$C$4*$C$2</f>
        <v>-492000</v>
      </c>
      <c r="E67" s="6">
        <f>-(-$C$3-'Costos Unitarios'!$E$38)*'Híbrido DELTA (2)'!$C$4*'Híbrido DELTA (2)'!$C$2</f>
        <v>-451000</v>
      </c>
      <c r="F67" s="6">
        <f>-(-$C$3-'Costos Unitarios'!$E$38*F90)*'Híbrido DELTA (2)'!$C$4*'Híbrido DELTA (2)'!$C$2</f>
        <v>-410000</v>
      </c>
      <c r="G67" s="6">
        <f>-(-$C$3-'Costos Unitarios'!$E$38*G90)*'Híbrido DELTA (2)'!$C$4*'Híbrido DELTA (2)'!$C$2</f>
        <v>-369000</v>
      </c>
      <c r="H67" s="6">
        <f>-(-$C$3-'Costos Unitarios'!$E$38*H90)*'Híbrido DELTA (2)'!$C$4*'Híbrido DELTA (2)'!$C$2</f>
        <v>-327999.99999999994</v>
      </c>
      <c r="I67" s="6">
        <f>-(-$C$3-'Costos Unitarios'!$E$38*I90)*'Híbrido DELTA (2)'!$C$4*'Híbrido DELTA (2)'!$C$2</f>
        <v>-286999.99999999994</v>
      </c>
      <c r="J67" s="6">
        <f>-(-$C$3-'Costos Unitarios'!$E$38*J90)*'Híbrido DELTA (2)'!$C$4*'Híbrido DELTA (2)'!$C$2</f>
        <v>-246000</v>
      </c>
      <c r="K67" s="6">
        <f>-(-$C$3-'Costos Unitarios'!$E$38*K90)*'Híbrido DELTA (2)'!$C$4*'Híbrido DELTA (2)'!$C$2</f>
        <v>-205000</v>
      </c>
      <c r="L67" s="6">
        <f>-(-$C$3-'Costos Unitarios'!$E$38*L90)*'Híbrido DELTA (2)'!$C$4*'Híbrido DELTA (2)'!$C$2</f>
        <v>-163999.99999999994</v>
      </c>
      <c r="M67" s="6">
        <f>-(-$C$3-'Costos Unitarios'!$E$38*M90)*'Híbrido DELTA (2)'!$C$4*'Híbrido DELTA (2)'!$C$2</f>
        <v>-122999.99999999996</v>
      </c>
      <c r="N67" s="6">
        <f>-(-$C$3-'Costos Unitarios'!$E$38*N90)*'Híbrido DELTA (2)'!$C$4*'Híbrido DELTA (2)'!$C$2</f>
        <v>-81999.999999999942</v>
      </c>
      <c r="O67" s="6">
        <f>-(-$C$3-'Costos Unitarios'!$E$38*O90)*'Híbrido DELTA (2)'!$C$4*'Híbrido DELTA (2)'!$C$2</f>
        <v>-40999.999999999971</v>
      </c>
      <c r="P67" s="4">
        <f>SUM(D67:O67)</f>
        <v>-3198000</v>
      </c>
    </row>
    <row r="68" spans="1:16" s="5" customFormat="1" ht="14">
      <c r="A68" s="217" t="s">
        <v>120</v>
      </c>
      <c r="B68" s="218" t="s">
        <v>17</v>
      </c>
      <c r="C68" s="7"/>
      <c r="D68" s="6">
        <f>-'Costos Unitarios'!$E$16*12*$C$2</f>
        <v>1406250</v>
      </c>
      <c r="E68" s="6">
        <f>-'Costos Unitarios'!$E$16*12*$C$2</f>
        <v>1406250</v>
      </c>
      <c r="F68" s="6">
        <f>-'Costos Unitarios'!$E$16*12*$C$2</f>
        <v>1406250</v>
      </c>
      <c r="G68" s="6">
        <f>-'Costos Unitarios'!$E$16*12*$C$2</f>
        <v>1406250</v>
      </c>
      <c r="H68" s="6">
        <f>-'Costos Unitarios'!$E$16*12*$C$2</f>
        <v>1406250</v>
      </c>
      <c r="I68" s="6">
        <f>-'Costos Unitarios'!$E$16*12*$C$2</f>
        <v>1406250</v>
      </c>
      <c r="J68" s="6">
        <f>-'Costos Unitarios'!$E$16*12*$C$2</f>
        <v>1406250</v>
      </c>
      <c r="K68" s="6">
        <f>-'Costos Unitarios'!$E$16*12*$C$2</f>
        <v>1406250</v>
      </c>
      <c r="L68" s="6">
        <f>-'Costos Unitarios'!$E$16*12*$C$2</f>
        <v>1406250</v>
      </c>
      <c r="M68" s="6">
        <f>-'Costos Unitarios'!$E$16*12*$C$2</f>
        <v>1406250</v>
      </c>
      <c r="N68" s="6">
        <f>-'Costos Unitarios'!$E$16*12*$C$2</f>
        <v>1406250</v>
      </c>
      <c r="O68" s="6">
        <f>-'Costos Unitarios'!$E$16*12*$C$2</f>
        <v>1406250</v>
      </c>
      <c r="P68" s="4">
        <f t="shared" ref="P68:P76" si="25">SUM(D68:O68)</f>
        <v>16875000</v>
      </c>
    </row>
    <row r="69" spans="1:16" s="5" customFormat="1" ht="14">
      <c r="A69" s="217" t="s">
        <v>121</v>
      </c>
      <c r="B69" s="218" t="s">
        <v>17</v>
      </c>
      <c r="C69" s="7"/>
      <c r="D69" s="6">
        <f>-'Costos Unitarios'!$D$22*'Híbrido DELTA (2)'!$C$2</f>
        <v>-1231650</v>
      </c>
      <c r="E69" s="6">
        <f>-'Costos Unitarios'!$D$22*'Híbrido DELTA (2)'!$C$2</f>
        <v>-1231650</v>
      </c>
      <c r="F69" s="6">
        <f>-'Costos Unitarios'!$D$22*'Híbrido DELTA (2)'!$C$2</f>
        <v>-1231650</v>
      </c>
      <c r="G69" s="6">
        <f>-'Costos Unitarios'!$D$22*'Híbrido DELTA (2)'!$C$2</f>
        <v>-1231650</v>
      </c>
      <c r="H69" s="6">
        <f>-'Costos Unitarios'!$D$22*'Híbrido DELTA (2)'!$C$2</f>
        <v>-1231650</v>
      </c>
      <c r="I69" s="6">
        <f>-'Costos Unitarios'!$D$22*'Híbrido DELTA (2)'!$C$2</f>
        <v>-1231650</v>
      </c>
      <c r="J69" s="6">
        <f>-'Costos Unitarios'!$D$22*'Híbrido DELTA (2)'!$C$2</f>
        <v>-1231650</v>
      </c>
      <c r="K69" s="6">
        <f>-'Costos Unitarios'!$D$22*'Híbrido DELTA (2)'!$C$2</f>
        <v>-1231650</v>
      </c>
      <c r="L69" s="6">
        <f>-'Costos Unitarios'!$D$22*'Híbrido DELTA (2)'!$C$2</f>
        <v>-1231650</v>
      </c>
      <c r="M69" s="6">
        <f>-'Costos Unitarios'!$D$22*'Híbrido DELTA (2)'!$C$2</f>
        <v>-1231650</v>
      </c>
      <c r="N69" s="6">
        <f>-'Costos Unitarios'!$D$22*'Híbrido DELTA (2)'!$C$2</f>
        <v>-1231650</v>
      </c>
      <c r="O69" s="6">
        <f>-'Costos Unitarios'!$D$22*'Híbrido DELTA (2)'!$C$2</f>
        <v>-1231650</v>
      </c>
      <c r="P69" s="4">
        <f t="shared" si="25"/>
        <v>-14779800</v>
      </c>
    </row>
    <row r="70" spans="1:16" s="5" customFormat="1" ht="14">
      <c r="A70" s="217" t="s">
        <v>122</v>
      </c>
      <c r="B70" s="218" t="s">
        <v>17</v>
      </c>
      <c r="C70" s="7"/>
      <c r="D70" s="6">
        <f>-'Costos Unitarios'!$E$26*$C$2*12</f>
        <v>67634.765625</v>
      </c>
      <c r="E70" s="6">
        <f>-'Costos Unitarios'!$E$26*$C$2*12</f>
        <v>67634.765625</v>
      </c>
      <c r="F70" s="6">
        <f>-'Costos Unitarios'!$E$26*$C$2*12</f>
        <v>67634.765625</v>
      </c>
      <c r="G70" s="6">
        <f>-'Costos Unitarios'!$E$26*$C$2*12</f>
        <v>67634.765625</v>
      </c>
      <c r="H70" s="6">
        <f>-'Costos Unitarios'!$E$26*$C$2*12</f>
        <v>67634.765625</v>
      </c>
      <c r="I70" s="6">
        <f>-'Costos Unitarios'!$E$26*$C$2*12</f>
        <v>67634.765625</v>
      </c>
      <c r="J70" s="6">
        <f>-'Costos Unitarios'!$E$26*$C$2*12</f>
        <v>67634.765625</v>
      </c>
      <c r="K70" s="6">
        <f>-'Costos Unitarios'!$E$26*$C$2*12</f>
        <v>67634.765625</v>
      </c>
      <c r="L70" s="6">
        <f>-'Costos Unitarios'!$E$26*$C$2*12</f>
        <v>67634.765625</v>
      </c>
      <c r="M70" s="6">
        <f>-'Costos Unitarios'!$E$26*$C$2*12</f>
        <v>67634.765625</v>
      </c>
      <c r="N70" s="6">
        <f>-'Costos Unitarios'!$E$26*$C$2*12</f>
        <v>67634.765625</v>
      </c>
      <c r="O70" s="6">
        <f>-'Costos Unitarios'!$E$26*$C$2*12</f>
        <v>67634.765625</v>
      </c>
      <c r="P70" s="4">
        <f t="shared" si="25"/>
        <v>811617.1875</v>
      </c>
    </row>
    <row r="71" spans="1:16" s="5" customFormat="1" ht="14">
      <c r="A71" s="217" t="s">
        <v>123</v>
      </c>
      <c r="B71" s="218" t="s">
        <v>17</v>
      </c>
      <c r="C71" s="7"/>
      <c r="D71" s="6">
        <f>-'Costos Unitarios'!$E$31*$C$2*12</f>
        <v>111562.5</v>
      </c>
      <c r="E71" s="6">
        <f>-'Costos Unitarios'!$E$31*$C$2*12</f>
        <v>111562.5</v>
      </c>
      <c r="F71" s="6">
        <f>-'Costos Unitarios'!$E$31*$C$2*12</f>
        <v>111562.5</v>
      </c>
      <c r="G71" s="6">
        <f>-'Costos Unitarios'!$E$31*$C$2*12</f>
        <v>111562.5</v>
      </c>
      <c r="H71" s="6">
        <f>-'Costos Unitarios'!$E$31*$C$2*12</f>
        <v>111562.5</v>
      </c>
      <c r="I71" s="6">
        <f>-'Costos Unitarios'!$E$31*$C$2*12</f>
        <v>111562.5</v>
      </c>
      <c r="J71" s="6">
        <f>-'Costos Unitarios'!$E$31*$C$2*12</f>
        <v>111562.5</v>
      </c>
      <c r="K71" s="6">
        <f>-'Costos Unitarios'!$E$31*$C$2*12</f>
        <v>111562.5</v>
      </c>
      <c r="L71" s="6">
        <f>-'Costos Unitarios'!$E$31*$C$2*12</f>
        <v>111562.5</v>
      </c>
      <c r="M71" s="6">
        <f>-'Costos Unitarios'!$E$31*$C$2*12</f>
        <v>111562.5</v>
      </c>
      <c r="N71" s="6">
        <f>-'Costos Unitarios'!$E$31*$C$2*12</f>
        <v>111562.5</v>
      </c>
      <c r="O71" s="6">
        <f>-'Costos Unitarios'!$E$31*$C$2*12</f>
        <v>111562.5</v>
      </c>
      <c r="P71" s="4">
        <f t="shared" si="25"/>
        <v>1338750</v>
      </c>
    </row>
    <row r="72" spans="1:16" s="18" customFormat="1" ht="14">
      <c r="A72" s="217" t="s">
        <v>200</v>
      </c>
      <c r="B72" s="219" t="s">
        <v>17</v>
      </c>
      <c r="C72" s="7"/>
      <c r="D72" s="197">
        <f>-'Costos Unitarios'!$E$38*$C$2</f>
        <v>-683333.33333333337</v>
      </c>
      <c r="E72" s="197">
        <f>-'Costos Unitarios'!$E$38*$C$2</f>
        <v>-683333.33333333337</v>
      </c>
      <c r="F72" s="197">
        <f>-'Costos Unitarios'!$E$38*$C$2</f>
        <v>-683333.33333333337</v>
      </c>
      <c r="G72" s="197">
        <f>-'Costos Unitarios'!$E$38*$C$2</f>
        <v>-683333.33333333337</v>
      </c>
      <c r="H72" s="197">
        <f>-'Costos Unitarios'!$E$38*$C$2</f>
        <v>-683333.33333333337</v>
      </c>
      <c r="I72" s="197">
        <f>-'Costos Unitarios'!$E$38*$C$2</f>
        <v>-683333.33333333337</v>
      </c>
      <c r="J72" s="197">
        <f>-'Costos Unitarios'!$E$38*$C$2</f>
        <v>-683333.33333333337</v>
      </c>
      <c r="K72" s="197">
        <f>-'Costos Unitarios'!$E$38*$C$2</f>
        <v>-683333.33333333337</v>
      </c>
      <c r="L72" s="197">
        <f>-'Costos Unitarios'!$E$38*$C$2</f>
        <v>-683333.33333333337</v>
      </c>
      <c r="M72" s="197">
        <f>-'Costos Unitarios'!$E$38*$C$2</f>
        <v>-683333.33333333337</v>
      </c>
      <c r="N72" s="197">
        <f>-'Costos Unitarios'!$E$38*$C$2</f>
        <v>-683333.33333333337</v>
      </c>
      <c r="O72" s="197">
        <f>-'Costos Unitarios'!$E$38*$C$2</f>
        <v>-683333.33333333337</v>
      </c>
      <c r="P72" s="4">
        <f t="shared" si="25"/>
        <v>-8199999.9999999991</v>
      </c>
    </row>
    <row r="73" spans="1:16" s="29" customFormat="1" ht="14">
      <c r="A73" s="217" t="s">
        <v>183</v>
      </c>
      <c r="B73" s="218" t="s">
        <v>17</v>
      </c>
      <c r="D73" s="6">
        <f>-$C$8*12</f>
        <v>0</v>
      </c>
      <c r="E73" s="6">
        <f t="shared" ref="E73:O73" si="26">-$C$8*12</f>
        <v>0</v>
      </c>
      <c r="F73" s="6">
        <f t="shared" si="26"/>
        <v>0</v>
      </c>
      <c r="G73" s="6">
        <f t="shared" si="26"/>
        <v>0</v>
      </c>
      <c r="H73" s="6">
        <f t="shared" si="26"/>
        <v>0</v>
      </c>
      <c r="I73" s="6">
        <f>-$C$8*12</f>
        <v>0</v>
      </c>
      <c r="J73" s="6">
        <f t="shared" si="26"/>
        <v>0</v>
      </c>
      <c r="K73" s="6">
        <f t="shared" si="26"/>
        <v>0</v>
      </c>
      <c r="L73" s="6">
        <f t="shared" si="26"/>
        <v>0</v>
      </c>
      <c r="M73" s="6">
        <f t="shared" si="26"/>
        <v>0</v>
      </c>
      <c r="N73" s="6">
        <f t="shared" si="26"/>
        <v>0</v>
      </c>
      <c r="O73" s="6">
        <f t="shared" si="26"/>
        <v>0</v>
      </c>
      <c r="P73" s="4">
        <f t="shared" si="25"/>
        <v>0</v>
      </c>
    </row>
    <row r="74" spans="1:16" s="29" customFormat="1" ht="14">
      <c r="A74" s="217" t="s">
        <v>150</v>
      </c>
      <c r="B74" s="218" t="s">
        <v>17</v>
      </c>
      <c r="D74" s="6">
        <f>+$C$7*12*$C$2</f>
        <v>-120000</v>
      </c>
      <c r="E74" s="6">
        <f t="shared" ref="E74:O74" si="27">+$C$7*12*$C$2</f>
        <v>-120000</v>
      </c>
      <c r="F74" s="6">
        <f t="shared" si="27"/>
        <v>-120000</v>
      </c>
      <c r="G74" s="6">
        <f t="shared" si="27"/>
        <v>-120000</v>
      </c>
      <c r="H74" s="6">
        <f t="shared" si="27"/>
        <v>-120000</v>
      </c>
      <c r="I74" s="6">
        <f>+$C$7*12*$C$2</f>
        <v>-120000</v>
      </c>
      <c r="J74" s="6">
        <f t="shared" si="27"/>
        <v>-120000</v>
      </c>
      <c r="K74" s="6">
        <f t="shared" si="27"/>
        <v>-120000</v>
      </c>
      <c r="L74" s="6">
        <f t="shared" si="27"/>
        <v>-120000</v>
      </c>
      <c r="M74" s="6">
        <f t="shared" si="27"/>
        <v>-120000</v>
      </c>
      <c r="N74" s="6">
        <f t="shared" si="27"/>
        <v>-120000</v>
      </c>
      <c r="O74" s="6">
        <f t="shared" si="27"/>
        <v>-120000</v>
      </c>
      <c r="P74" s="4">
        <f t="shared" si="25"/>
        <v>-1440000</v>
      </c>
    </row>
    <row r="75" spans="1:16" s="29" customFormat="1" ht="14">
      <c r="A75" s="217" t="s">
        <v>164</v>
      </c>
      <c r="B75" s="218" t="s">
        <v>17</v>
      </c>
      <c r="D75" s="6">
        <f>$C$6*$C$5*$C$2*12</f>
        <v>0</v>
      </c>
      <c r="E75" s="6">
        <f t="shared" ref="E75:O75" si="28">$C$6*$C$5*$C$2*12</f>
        <v>0</v>
      </c>
      <c r="F75" s="6">
        <f t="shared" si="28"/>
        <v>0</v>
      </c>
      <c r="G75" s="6">
        <f t="shared" si="28"/>
        <v>0</v>
      </c>
      <c r="H75" s="6">
        <f t="shared" si="28"/>
        <v>0</v>
      </c>
      <c r="I75" s="6">
        <f>$C$6*$C$5*$C$2*12</f>
        <v>0</v>
      </c>
      <c r="J75" s="6">
        <f t="shared" si="28"/>
        <v>0</v>
      </c>
      <c r="K75" s="6">
        <f t="shared" si="28"/>
        <v>0</v>
      </c>
      <c r="L75" s="6">
        <f t="shared" si="28"/>
        <v>0</v>
      </c>
      <c r="M75" s="6">
        <f t="shared" si="28"/>
        <v>0</v>
      </c>
      <c r="N75" s="6">
        <f t="shared" si="28"/>
        <v>0</v>
      </c>
      <c r="O75" s="6">
        <f t="shared" si="28"/>
        <v>0</v>
      </c>
      <c r="P75" s="4">
        <f t="shared" si="25"/>
        <v>0</v>
      </c>
    </row>
    <row r="76" spans="1:16" s="29" customFormat="1" ht="14">
      <c r="A76" s="217" t="s">
        <v>182</v>
      </c>
      <c r="B76" s="218"/>
      <c r="D76" s="6">
        <f>$C$9*12</f>
        <v>0</v>
      </c>
      <c r="E76" s="6">
        <f t="shared" ref="E76:O76" si="29">$C$9*12</f>
        <v>0</v>
      </c>
      <c r="F76" s="6">
        <f t="shared" si="29"/>
        <v>0</v>
      </c>
      <c r="G76" s="6">
        <f t="shared" si="29"/>
        <v>0</v>
      </c>
      <c r="H76" s="6">
        <f t="shared" si="29"/>
        <v>0</v>
      </c>
      <c r="I76" s="6">
        <f>$C$9*12</f>
        <v>0</v>
      </c>
      <c r="J76" s="6">
        <f t="shared" si="29"/>
        <v>0</v>
      </c>
      <c r="K76" s="6">
        <f t="shared" si="29"/>
        <v>0</v>
      </c>
      <c r="L76" s="6">
        <f t="shared" si="29"/>
        <v>0</v>
      </c>
      <c r="M76" s="6">
        <f t="shared" si="29"/>
        <v>0</v>
      </c>
      <c r="N76" s="6">
        <f t="shared" si="29"/>
        <v>0</v>
      </c>
      <c r="O76" s="6">
        <f t="shared" si="29"/>
        <v>0</v>
      </c>
      <c r="P76" s="4">
        <f t="shared" si="25"/>
        <v>0</v>
      </c>
    </row>
    <row r="77" spans="1:16" s="187" customFormat="1" ht="14">
      <c r="A77" s="185" t="s">
        <v>127</v>
      </c>
      <c r="B77" s="191" t="s">
        <v>17</v>
      </c>
      <c r="D77" s="188">
        <f>SUM(D64:D76)</f>
        <v>-941536.06770833337</v>
      </c>
      <c r="E77" s="188">
        <f t="shared" ref="E77:O77" si="30">SUM(E64:E76)</f>
        <v>-900536.06770833337</v>
      </c>
      <c r="F77" s="188">
        <f t="shared" si="30"/>
        <v>-859536.06770833337</v>
      </c>
      <c r="G77" s="188">
        <f t="shared" si="30"/>
        <v>-818536.06770833337</v>
      </c>
      <c r="H77" s="188">
        <f t="shared" si="30"/>
        <v>-777536.06770833337</v>
      </c>
      <c r="I77" s="188">
        <f t="shared" si="30"/>
        <v>-736536.06770833337</v>
      </c>
      <c r="J77" s="188">
        <f t="shared" si="30"/>
        <v>-695536.06770833337</v>
      </c>
      <c r="K77" s="188">
        <f t="shared" si="30"/>
        <v>-654536.06770833337</v>
      </c>
      <c r="L77" s="188">
        <f t="shared" si="30"/>
        <v>-613536.06770833337</v>
      </c>
      <c r="M77" s="188">
        <f t="shared" si="30"/>
        <v>-572536.06770833337</v>
      </c>
      <c r="N77" s="188">
        <f t="shared" si="30"/>
        <v>-531536.06770833337</v>
      </c>
      <c r="O77" s="188">
        <f t="shared" si="30"/>
        <v>-490536.06770833337</v>
      </c>
    </row>
    <row r="78" spans="1:16" s="4" customFormat="1" thickBot="1">
      <c r="A78" s="4" t="s">
        <v>125</v>
      </c>
      <c r="B78" s="6" t="s">
        <v>17</v>
      </c>
      <c r="D78" s="4">
        <f>$H$11*$C$2*12</f>
        <v>803556</v>
      </c>
      <c r="E78" s="4">
        <f t="shared" ref="E78:O78" si="31">$H$11*$C$2*12</f>
        <v>803556</v>
      </c>
      <c r="F78" s="4">
        <f t="shared" si="31"/>
        <v>803556</v>
      </c>
      <c r="G78" s="4">
        <f t="shared" si="31"/>
        <v>803556</v>
      </c>
      <c r="H78" s="4">
        <f t="shared" si="31"/>
        <v>803556</v>
      </c>
      <c r="I78" s="4">
        <f t="shared" si="31"/>
        <v>803556</v>
      </c>
      <c r="J78" s="4">
        <f t="shared" si="31"/>
        <v>803556</v>
      </c>
      <c r="K78" s="4">
        <f t="shared" si="31"/>
        <v>803556</v>
      </c>
      <c r="L78" s="4">
        <f t="shared" si="31"/>
        <v>803556</v>
      </c>
      <c r="M78" s="4">
        <f t="shared" si="31"/>
        <v>803556</v>
      </c>
      <c r="N78" s="4">
        <f t="shared" si="31"/>
        <v>803556</v>
      </c>
      <c r="O78" s="4">
        <f t="shared" si="31"/>
        <v>803556</v>
      </c>
    </row>
    <row r="79" spans="1:16" s="170" customFormat="1" thickBot="1">
      <c r="A79" s="170" t="s">
        <v>126</v>
      </c>
      <c r="B79" s="192" t="s">
        <v>17</v>
      </c>
      <c r="D79" s="171">
        <f>D78+D77</f>
        <v>-137980.06770833337</v>
      </c>
      <c r="E79" s="171">
        <f t="shared" ref="E79:O79" si="32">E78+E77</f>
        <v>-96980.067708333372</v>
      </c>
      <c r="F79" s="171">
        <f t="shared" si="32"/>
        <v>-55980.067708333372</v>
      </c>
      <c r="G79" s="171">
        <f t="shared" si="32"/>
        <v>-14980.067708333372</v>
      </c>
      <c r="H79" s="171">
        <f t="shared" si="32"/>
        <v>26019.932291666628</v>
      </c>
      <c r="I79" s="171">
        <f t="shared" si="32"/>
        <v>67019.932291666628</v>
      </c>
      <c r="J79" s="171">
        <f t="shared" si="32"/>
        <v>108019.93229166663</v>
      </c>
      <c r="K79" s="171">
        <f t="shared" si="32"/>
        <v>149019.93229166663</v>
      </c>
      <c r="L79" s="171">
        <f t="shared" si="32"/>
        <v>190019.93229166663</v>
      </c>
      <c r="M79" s="171">
        <f t="shared" si="32"/>
        <v>231019.93229166663</v>
      </c>
      <c r="N79" s="171">
        <f t="shared" si="32"/>
        <v>272019.93229166663</v>
      </c>
      <c r="O79" s="171">
        <f t="shared" si="32"/>
        <v>313019.93229166663</v>
      </c>
    </row>
    <row r="80" spans="1:16" s="29" customFormat="1" ht="14">
      <c r="C80" s="29">
        <v>0</v>
      </c>
      <c r="D80" s="29">
        <v>1</v>
      </c>
      <c r="E80" s="29">
        <v>2</v>
      </c>
      <c r="F80" s="29">
        <v>3</v>
      </c>
      <c r="G80" s="29">
        <v>4</v>
      </c>
      <c r="H80" s="29">
        <v>5</v>
      </c>
      <c r="I80" s="29">
        <v>6</v>
      </c>
      <c r="J80" s="29">
        <v>7</v>
      </c>
      <c r="K80" s="29">
        <v>8</v>
      </c>
      <c r="L80" s="29">
        <v>9</v>
      </c>
      <c r="M80" s="29">
        <v>10</v>
      </c>
      <c r="N80" s="29">
        <v>11</v>
      </c>
      <c r="O80" s="29">
        <v>12</v>
      </c>
    </row>
    <row r="81" spans="3:15" s="195" customFormat="1" ht="14">
      <c r="D81" s="195">
        <f>(D79)/(1+$C$13)^D80</f>
        <v>-123196.48902529765</v>
      </c>
      <c r="E81" s="195">
        <f t="shared" ref="E81" si="33">(E79)/(1+$C$13)^E80</f>
        <v>-77311.916221566775</v>
      </c>
      <c r="F81" s="195">
        <f t="shared" ref="F81" si="34">(F79)/(1+$C$13)^F80</f>
        <v>-39845.506466049046</v>
      </c>
      <c r="G81" s="195">
        <f t="shared" ref="G81" si="35">(G79)/(1+$C$13)^G80</f>
        <v>-9520.1038443742873</v>
      </c>
      <c r="H81" s="195">
        <f t="shared" ref="H81" si="36">(H79)/(1+$C$13)^H80</f>
        <v>14764.40836627124</v>
      </c>
      <c r="I81" s="195">
        <f t="shared" ref="I81" si="37">(I79)/(1+$C$13)^I80</f>
        <v>33954.383438155179</v>
      </c>
      <c r="J81" s="195">
        <f t="shared" ref="J81" si="38">(J79)/(1+$C$13)^J80</f>
        <v>48862.731612879754</v>
      </c>
      <c r="K81" s="195">
        <f t="shared" ref="K81" si="39">(K79)/(1+$C$13)^K80</f>
        <v>60186.651287225344</v>
      </c>
      <c r="L81" s="195">
        <f t="shared" ref="L81" si="40">(L79)/(1+$C$13)^L80</f>
        <v>68523.092530695954</v>
      </c>
      <c r="M81" s="195">
        <f t="shared" ref="M81" si="41">(M79)/(1+$C$13)^M80</f>
        <v>74382.235316911348</v>
      </c>
      <c r="N81" s="195">
        <f t="shared" ref="N81" si="42">(N79)/(1+$C$13)^N80</f>
        <v>78199.230372437392</v>
      </c>
      <c r="O81" s="195">
        <f t="shared" ref="O81" si="43">(O79)/(1+$C$13)^O80</f>
        <v>80344.420214722908</v>
      </c>
    </row>
    <row r="82" spans="3:15" s="29" customFormat="1" thickBot="1"/>
    <row r="83" spans="3:15" ht="16" thickBot="1">
      <c r="C83" s="216" t="s">
        <v>130</v>
      </c>
      <c r="D83" s="239">
        <f>SUM(D81:O81)-C64</f>
        <v>209343.13758201132</v>
      </c>
    </row>
    <row r="90" spans="3:15">
      <c r="F90">
        <v>2</v>
      </c>
      <c r="G90">
        <v>3</v>
      </c>
      <c r="H90">
        <v>4</v>
      </c>
      <c r="I90">
        <v>5</v>
      </c>
      <c r="J90">
        <v>6</v>
      </c>
      <c r="K90">
        <v>7</v>
      </c>
      <c r="L90">
        <v>8</v>
      </c>
      <c r="M90">
        <v>9</v>
      </c>
      <c r="N90">
        <v>10</v>
      </c>
      <c r="O90">
        <v>11</v>
      </c>
    </row>
  </sheetData>
  <pageMargins left="0.75" right="0.75" top="1" bottom="1" header="0.5" footer="0.5"/>
  <pageSetup orientation="portrait" horizontalDpi="4294967292" verticalDpi="4294967292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tabColor rgb="FF3366FF"/>
  </sheetPr>
  <dimension ref="A1:O90"/>
  <sheetViews>
    <sheetView showGridLines="0" workbookViewId="0">
      <selection activeCell="F10" sqref="F10:H10"/>
    </sheetView>
  </sheetViews>
  <sheetFormatPr baseColWidth="10" defaultRowHeight="15" x14ac:dyDescent="0"/>
  <cols>
    <col min="1" max="1" width="32.33203125" customWidth="1"/>
    <col min="2" max="2" width="9" customWidth="1"/>
    <col min="3" max="3" width="12.83203125" bestFit="1" customWidth="1"/>
    <col min="4" max="4" width="13.83203125" bestFit="1" customWidth="1"/>
    <col min="5" max="8" width="12.5" customWidth="1"/>
    <col min="9" max="10" width="12" bestFit="1" customWidth="1"/>
    <col min="11" max="11" width="13.6640625" bestFit="1" customWidth="1"/>
    <col min="12" max="12" width="12" bestFit="1" customWidth="1"/>
    <col min="13" max="13" width="12.83203125" customWidth="1"/>
    <col min="14" max="15" width="12.5" customWidth="1"/>
  </cols>
  <sheetData>
    <row r="1" spans="1:14" ht="21" thickBot="1">
      <c r="A1" s="27" t="s">
        <v>201</v>
      </c>
      <c r="E1" t="s">
        <v>17</v>
      </c>
      <c r="F1">
        <v>550</v>
      </c>
      <c r="N1">
        <v>1.5</v>
      </c>
    </row>
    <row r="2" spans="1:14" s="29" customFormat="1" ht="16" thickBot="1">
      <c r="A2" s="29" t="s">
        <v>33</v>
      </c>
      <c r="C2" s="215">
        <v>100</v>
      </c>
      <c r="K2"/>
      <c r="L2" t="s">
        <v>197</v>
      </c>
      <c r="M2"/>
    </row>
    <row r="3" spans="1:14" s="29" customFormat="1">
      <c r="A3" s="225" t="s">
        <v>203</v>
      </c>
      <c r="B3" s="222" t="s">
        <v>17</v>
      </c>
      <c r="C3" s="229">
        <f>500000-190000</f>
        <v>310000</v>
      </c>
      <c r="D3" s="4"/>
      <c r="E3" s="4"/>
      <c r="F3" s="4"/>
      <c r="G3" s="4"/>
      <c r="H3" s="4"/>
      <c r="I3" s="4"/>
      <c r="J3" s="29" t="s">
        <v>196</v>
      </c>
      <c r="K3" s="67">
        <f>500000-190000</f>
        <v>310000</v>
      </c>
      <c r="L3" s="67">
        <f>+K3/5</f>
        <v>62000</v>
      </c>
      <c r="M3" s="67"/>
    </row>
    <row r="4" spans="1:14" s="29" customFormat="1">
      <c r="A4" s="226" t="s">
        <v>162</v>
      </c>
      <c r="B4" s="223" t="s">
        <v>20</v>
      </c>
      <c r="C4" s="230">
        <v>0.06</v>
      </c>
      <c r="D4" s="4"/>
      <c r="E4" s="4"/>
      <c r="F4" s="4"/>
      <c r="G4" s="4"/>
      <c r="H4" s="4"/>
      <c r="I4" s="4"/>
      <c r="J4" s="29" t="s">
        <v>194</v>
      </c>
      <c r="K4" s="67">
        <f t="shared" ref="K4:K5" si="0">500000-190000</f>
        <v>310000</v>
      </c>
      <c r="L4" s="67">
        <f>+K4/10</f>
        <v>31000</v>
      </c>
      <c r="M4" s="67"/>
    </row>
    <row r="5" spans="1:14" s="29" customFormat="1">
      <c r="A5" s="226" t="s">
        <v>163</v>
      </c>
      <c r="B5" s="223"/>
      <c r="C5" s="231">
        <v>0</v>
      </c>
      <c r="D5" s="4"/>
      <c r="E5" s="4"/>
      <c r="F5" s="4"/>
      <c r="G5" s="4"/>
      <c r="H5" s="4"/>
      <c r="I5" s="4"/>
      <c r="J5" s="29" t="s">
        <v>195</v>
      </c>
      <c r="K5" s="67">
        <f t="shared" si="0"/>
        <v>310000</v>
      </c>
      <c r="L5" s="67">
        <f>+K5/12</f>
        <v>25833.333333333332</v>
      </c>
      <c r="M5" s="67"/>
    </row>
    <row r="6" spans="1:14" s="29" customFormat="1" ht="14">
      <c r="A6" s="226" t="s">
        <v>166</v>
      </c>
      <c r="B6" s="223" t="s">
        <v>17</v>
      </c>
      <c r="C6" s="232">
        <v>1200</v>
      </c>
      <c r="D6" s="4"/>
      <c r="E6" s="4"/>
      <c r="F6" s="4"/>
      <c r="G6" s="4"/>
      <c r="H6" s="4"/>
      <c r="I6" s="4"/>
    </row>
    <row r="7" spans="1:14" s="29" customFormat="1" ht="14">
      <c r="A7" s="226" t="s">
        <v>178</v>
      </c>
      <c r="B7" s="223" t="s">
        <v>17</v>
      </c>
      <c r="C7" s="233">
        <f>+K13*0.7</f>
        <v>1063.097695830664</v>
      </c>
      <c r="D7" s="4"/>
      <c r="E7" s="4"/>
      <c r="F7" s="4"/>
      <c r="G7" s="4"/>
      <c r="H7" s="4"/>
      <c r="I7" s="4"/>
    </row>
    <row r="8" spans="1:14" s="29" customFormat="1" ht="14">
      <c r="A8" s="226" t="s">
        <v>179</v>
      </c>
      <c r="B8" s="223" t="s">
        <v>17</v>
      </c>
      <c r="C8" s="234">
        <v>0</v>
      </c>
      <c r="D8" s="4"/>
      <c r="E8" s="4"/>
      <c r="F8" s="4"/>
      <c r="G8" s="4"/>
      <c r="H8" s="4"/>
      <c r="I8" s="4"/>
      <c r="K8" s="245"/>
      <c r="L8" s="245"/>
    </row>
    <row r="9" spans="1:14" s="29" customFormat="1" ht="14">
      <c r="A9" s="226" t="s">
        <v>180</v>
      </c>
      <c r="B9" s="223" t="s">
        <v>17</v>
      </c>
      <c r="C9" s="234">
        <v>0</v>
      </c>
      <c r="D9" s="4"/>
      <c r="E9" s="241"/>
      <c r="F9" s="242" t="s">
        <v>190</v>
      </c>
      <c r="G9" s="243" t="s">
        <v>191</v>
      </c>
      <c r="H9" s="243" t="s">
        <v>192</v>
      </c>
      <c r="I9" s="4"/>
      <c r="K9" s="246">
        <v>16000000000</v>
      </c>
      <c r="L9" s="247">
        <f>+K9/K10</f>
        <v>12529365.700861394</v>
      </c>
    </row>
    <row r="10" spans="1:14" s="29" customFormat="1" ht="14">
      <c r="A10" s="226" t="s">
        <v>181</v>
      </c>
      <c r="B10" s="223" t="s">
        <v>17</v>
      </c>
      <c r="C10" s="235">
        <f>+F11</f>
        <v>3663.27</v>
      </c>
      <c r="D10" s="4"/>
      <c r="E10" s="241">
        <v>3939</v>
      </c>
      <c r="F10" s="244">
        <v>0.93</v>
      </c>
      <c r="G10" s="244">
        <v>0.27</v>
      </c>
      <c r="H10" s="244">
        <v>0.16</v>
      </c>
      <c r="I10" s="4"/>
      <c r="J10" s="249"/>
      <c r="K10" s="250">
        <v>1277</v>
      </c>
      <c r="L10" s="251"/>
    </row>
    <row r="11" spans="1:14" s="29" customFormat="1" ht="14">
      <c r="A11" s="227" t="s">
        <v>160</v>
      </c>
      <c r="B11" s="223"/>
      <c r="C11" s="236">
        <v>300</v>
      </c>
      <c r="D11" s="4"/>
      <c r="E11" s="241"/>
      <c r="F11" s="243">
        <f>+$E$10*(F10)</f>
        <v>3663.27</v>
      </c>
      <c r="G11" s="243">
        <f t="shared" ref="G11:H11" si="1">+$E$10*(G10)</f>
        <v>1063.53</v>
      </c>
      <c r="H11" s="243">
        <f t="shared" si="1"/>
        <v>630.24</v>
      </c>
      <c r="I11" s="4"/>
      <c r="J11" s="249"/>
      <c r="K11" s="250">
        <v>12</v>
      </c>
      <c r="L11" s="251"/>
    </row>
    <row r="12" spans="1:14" s="29" customFormat="1" ht="14">
      <c r="A12" s="227" t="s">
        <v>161</v>
      </c>
      <c r="B12" s="223" t="s">
        <v>17</v>
      </c>
      <c r="C12" s="237"/>
      <c r="D12" s="4"/>
      <c r="E12" s="4"/>
      <c r="F12" s="4"/>
      <c r="G12" s="4"/>
      <c r="H12" s="4"/>
      <c r="I12" s="4"/>
      <c r="J12" s="249"/>
      <c r="K12" s="250">
        <f>+K9/K10/K11*0.8</f>
        <v>835291.04672409303</v>
      </c>
      <c r="L12" s="251"/>
    </row>
    <row r="13" spans="1:14" s="29" customFormat="1" ht="14">
      <c r="A13" s="228" t="s">
        <v>128</v>
      </c>
      <c r="B13" s="224" t="s">
        <v>20</v>
      </c>
      <c r="C13" s="238">
        <v>0.12</v>
      </c>
      <c r="D13" s="4"/>
      <c r="E13" s="4"/>
      <c r="F13" s="4"/>
      <c r="G13" s="4"/>
      <c r="H13" s="4"/>
      <c r="I13" s="4"/>
      <c r="J13" s="249"/>
      <c r="K13" s="251">
        <f>+K12/550</f>
        <v>1518.7109940438056</v>
      </c>
      <c r="L13" s="251"/>
    </row>
    <row r="14" spans="1:14" s="29" customFormat="1" ht="14">
      <c r="B14" s="183"/>
      <c r="D14" s="4"/>
      <c r="E14" s="4"/>
      <c r="F14" s="4"/>
      <c r="G14" s="4"/>
      <c r="H14" s="4"/>
      <c r="I14" s="4"/>
      <c r="J14" s="249"/>
      <c r="K14" s="249"/>
      <c r="L14" s="249"/>
    </row>
    <row r="15" spans="1:14" s="29" customFormat="1" ht="14">
      <c r="J15" s="249"/>
      <c r="K15" s="249"/>
      <c r="L15" s="249"/>
    </row>
    <row r="16" spans="1:14" s="29" customFormat="1" ht="18">
      <c r="A16" s="189" t="s">
        <v>151</v>
      </c>
      <c r="J16" s="249"/>
      <c r="K16" s="249"/>
      <c r="L16" s="249"/>
    </row>
    <row r="17" spans="1:8" s="4" customFormat="1" ht="14">
      <c r="A17" s="11" t="s">
        <v>21</v>
      </c>
      <c r="B17" s="6" t="s">
        <v>16</v>
      </c>
      <c r="C17" s="6" t="s">
        <v>45</v>
      </c>
      <c r="D17" s="6" t="s">
        <v>46</v>
      </c>
      <c r="E17" s="6" t="s">
        <v>47</v>
      </c>
      <c r="F17" s="6" t="s">
        <v>48</v>
      </c>
      <c r="G17" s="6" t="s">
        <v>49</v>
      </c>
      <c r="H17" s="6" t="s">
        <v>50</v>
      </c>
    </row>
    <row r="18" spans="1:8" s="4" customFormat="1" ht="14">
      <c r="A18" s="4" t="s">
        <v>61</v>
      </c>
      <c r="B18" s="6" t="s">
        <v>17</v>
      </c>
      <c r="C18" s="6">
        <v>0</v>
      </c>
      <c r="D18" s="6"/>
      <c r="E18" s="6"/>
      <c r="F18" s="6"/>
      <c r="G18" s="6"/>
      <c r="H18" s="6"/>
    </row>
    <row r="19" spans="1:8" s="4" customFormat="1" ht="14">
      <c r="A19" s="4" t="s">
        <v>59</v>
      </c>
      <c r="B19" s="6" t="s">
        <v>17</v>
      </c>
      <c r="C19" s="6"/>
      <c r="D19" s="6"/>
      <c r="E19" s="6"/>
      <c r="F19" s="6"/>
      <c r="G19" s="6"/>
      <c r="H19" s="6"/>
    </row>
    <row r="20" spans="1:8" s="4" customFormat="1" ht="14">
      <c r="A20" s="4" t="s">
        <v>60</v>
      </c>
      <c r="B20" s="6" t="s">
        <v>17</v>
      </c>
      <c r="C20" s="6"/>
      <c r="D20" s="6"/>
      <c r="E20" s="6"/>
      <c r="F20" s="6"/>
      <c r="G20" s="6"/>
      <c r="H20" s="6"/>
    </row>
    <row r="21" spans="1:8" s="4" customFormat="1" ht="14">
      <c r="A21" s="217" t="s">
        <v>145</v>
      </c>
      <c r="B21" s="218" t="s">
        <v>17</v>
      </c>
      <c r="C21" s="6"/>
      <c r="D21" s="6">
        <f>-$C$3*$C$4*$C$2</f>
        <v>-1860000</v>
      </c>
      <c r="E21" s="6">
        <f>-($C$3-$L$3*E90)*$C$4*$C$2</f>
        <v>-1488000</v>
      </c>
      <c r="F21" s="6">
        <f t="shared" ref="F21:H21" si="2">-($C$3-$L$3*F90)*$C$4*$C$2</f>
        <v>-1116000</v>
      </c>
      <c r="G21" s="6">
        <f t="shared" si="2"/>
        <v>-744000</v>
      </c>
      <c r="H21" s="6">
        <f t="shared" si="2"/>
        <v>-372000</v>
      </c>
    </row>
    <row r="22" spans="1:8" s="5" customFormat="1" ht="14">
      <c r="A22" s="217" t="s">
        <v>120</v>
      </c>
      <c r="B22" s="218" t="s">
        <v>17</v>
      </c>
      <c r="C22" s="7"/>
      <c r="D22" s="6">
        <f>'Costos Unitarios'!$C$16*12*$C$2*0.7</f>
        <v>3281250.0000000005</v>
      </c>
      <c r="E22" s="6">
        <f>'Costos Unitarios'!$C$16*12*$C$2*0.7</f>
        <v>3281250.0000000005</v>
      </c>
      <c r="F22" s="6">
        <f>'Costos Unitarios'!$C$16*12*$C$2*0.7</f>
        <v>3281250.0000000005</v>
      </c>
      <c r="G22" s="6">
        <f>'Costos Unitarios'!$C$16*12*$C$2*0.7</f>
        <v>3281250.0000000005</v>
      </c>
      <c r="H22" s="6">
        <f>'Costos Unitarios'!$C$16*12*$C$2*0.7</f>
        <v>3281250.0000000005</v>
      </c>
    </row>
    <row r="23" spans="1:8" s="5" customFormat="1" ht="14">
      <c r="A23" s="217" t="s">
        <v>121</v>
      </c>
      <c r="B23" s="218" t="s">
        <v>17</v>
      </c>
      <c r="C23" s="7"/>
      <c r="D23" s="6">
        <f>-'Costos Unitarios'!$D$22*$C$2*$N$1</f>
        <v>-1847475</v>
      </c>
      <c r="E23" s="6">
        <f>-'Costos Unitarios'!$D$22*$C$2*$N$1</f>
        <v>-1847475</v>
      </c>
      <c r="F23" s="6">
        <f>-'Costos Unitarios'!$D$22*$C$2*$N$1</f>
        <v>-1847475</v>
      </c>
      <c r="G23" s="6">
        <f>-'Costos Unitarios'!$D$22*$C$2*$N$1</f>
        <v>-1847475</v>
      </c>
      <c r="H23" s="6">
        <f>-'Costos Unitarios'!$D$22*$C$2*$N$1</f>
        <v>-1847475</v>
      </c>
    </row>
    <row r="24" spans="1:8" s="5" customFormat="1" ht="14">
      <c r="A24" s="217" t="s">
        <v>122</v>
      </c>
      <c r="B24" s="218" t="s">
        <v>17</v>
      </c>
      <c r="C24" s="7"/>
      <c r="D24" s="6">
        <f>'Costos Unitarios'!$C$26*$C$2*12</f>
        <v>225449.21875000003</v>
      </c>
      <c r="E24" s="6">
        <f>'Costos Unitarios'!$C$26*$C$2*12</f>
        <v>225449.21875000003</v>
      </c>
      <c r="F24" s="6">
        <f>'Costos Unitarios'!$C$26*$C$2*12</f>
        <v>225449.21875000003</v>
      </c>
      <c r="G24" s="6">
        <f>'Costos Unitarios'!$C$26*$C$2*12</f>
        <v>225449.21875000003</v>
      </c>
      <c r="H24" s="6">
        <f>'Costos Unitarios'!$C$26*$C$2*12</f>
        <v>225449.21875000003</v>
      </c>
    </row>
    <row r="25" spans="1:8" s="5" customFormat="1" ht="14">
      <c r="A25" s="217" t="s">
        <v>123</v>
      </c>
      <c r="B25" s="218" t="s">
        <v>17</v>
      </c>
      <c r="C25" s="7"/>
      <c r="D25" s="6">
        <f>-'Costos Unitarios'!$E$31*$C$2*12</f>
        <v>111562.5</v>
      </c>
      <c r="E25" s="6">
        <f>-'Costos Unitarios'!$E$31*$C$2*12</f>
        <v>111562.5</v>
      </c>
      <c r="F25" s="6">
        <f>-'Costos Unitarios'!$E$31*$C$2*12</f>
        <v>111562.5</v>
      </c>
      <c r="G25" s="6">
        <f>-'Costos Unitarios'!$E$31*$C$2*12</f>
        <v>111562.5</v>
      </c>
      <c r="H25" s="6">
        <f>-'Costos Unitarios'!$E$31*$C$2*12</f>
        <v>111562.5</v>
      </c>
    </row>
    <row r="26" spans="1:8" s="18" customFormat="1" ht="14">
      <c r="A26" s="217" t="s">
        <v>124</v>
      </c>
      <c r="B26" s="219" t="s">
        <v>17</v>
      </c>
      <c r="C26" s="7"/>
      <c r="D26" s="197">
        <f>-$C$3/5*$C$2</f>
        <v>-6200000</v>
      </c>
      <c r="E26" s="197">
        <f t="shared" ref="E26:H26" si="3">-$C$3/5*$C$2</f>
        <v>-6200000</v>
      </c>
      <c r="F26" s="197">
        <f t="shared" si="3"/>
        <v>-6200000</v>
      </c>
      <c r="G26" s="197">
        <f t="shared" si="3"/>
        <v>-6200000</v>
      </c>
      <c r="H26" s="197">
        <f t="shared" si="3"/>
        <v>-6200000</v>
      </c>
    </row>
    <row r="27" spans="1:8" s="29" customFormat="1" ht="14">
      <c r="A27" s="217" t="s">
        <v>183</v>
      </c>
      <c r="B27" s="218" t="s">
        <v>17</v>
      </c>
      <c r="D27" s="6">
        <f>-$C$8*12</f>
        <v>0</v>
      </c>
      <c r="E27" s="6">
        <f t="shared" ref="E27:H27" si="4">-$C$8*12</f>
        <v>0</v>
      </c>
      <c r="F27" s="6">
        <f t="shared" si="4"/>
        <v>0</v>
      </c>
      <c r="G27" s="6">
        <f t="shared" si="4"/>
        <v>0</v>
      </c>
      <c r="H27" s="6">
        <f t="shared" si="4"/>
        <v>0</v>
      </c>
    </row>
    <row r="28" spans="1:8" s="29" customFormat="1" ht="14">
      <c r="A28" s="217" t="s">
        <v>150</v>
      </c>
      <c r="B28" s="218" t="s">
        <v>17</v>
      </c>
      <c r="D28" s="6">
        <f>+$C$7*12*$C$2</f>
        <v>1275717.2349967968</v>
      </c>
      <c r="E28" s="6">
        <f t="shared" ref="E28:H28" si="5">+$C$7*12*$C$2</f>
        <v>1275717.2349967968</v>
      </c>
      <c r="F28" s="6">
        <f t="shared" si="5"/>
        <v>1275717.2349967968</v>
      </c>
      <c r="G28" s="6">
        <f t="shared" si="5"/>
        <v>1275717.2349967968</v>
      </c>
      <c r="H28" s="6">
        <f t="shared" si="5"/>
        <v>1275717.2349967968</v>
      </c>
    </row>
    <row r="29" spans="1:8" s="29" customFormat="1" ht="14">
      <c r="A29" s="217" t="s">
        <v>164</v>
      </c>
      <c r="B29" s="218" t="s">
        <v>17</v>
      </c>
      <c r="D29" s="6">
        <f>$C$6*$C$5*$C$2*12</f>
        <v>0</v>
      </c>
      <c r="E29" s="6">
        <f>$C$6*$C$5*$C$2*12</f>
        <v>0</v>
      </c>
      <c r="F29" s="6">
        <f>$C$6*$C$5*$C$2*12</f>
        <v>0</v>
      </c>
      <c r="G29" s="6">
        <f>$C$6*$C$5*$C$2*12</f>
        <v>0</v>
      </c>
      <c r="H29" s="6">
        <f>$C$6*$C$5*$C$2*12</f>
        <v>0</v>
      </c>
    </row>
    <row r="30" spans="1:8" s="29" customFormat="1" ht="14">
      <c r="A30" s="217" t="s">
        <v>182</v>
      </c>
      <c r="B30" s="218"/>
      <c r="D30" s="248"/>
      <c r="E30" s="248"/>
      <c r="F30" s="248"/>
      <c r="G30" s="248"/>
      <c r="H30" s="248"/>
    </row>
    <row r="31" spans="1:8" s="187" customFormat="1" ht="14">
      <c r="A31" s="185" t="s">
        <v>127</v>
      </c>
      <c r="B31" s="191" t="s">
        <v>17</v>
      </c>
      <c r="D31" s="188">
        <f>SUM(D18:D29)</f>
        <v>-5013496.0462532025</v>
      </c>
      <c r="E31" s="188">
        <f t="shared" ref="E31:H31" si="6">SUM(E18:E29)</f>
        <v>-4641496.0462532034</v>
      </c>
      <c r="F31" s="188">
        <f t="shared" si="6"/>
        <v>-4269496.0462532034</v>
      </c>
      <c r="G31" s="188">
        <f t="shared" si="6"/>
        <v>-3897496.0462532034</v>
      </c>
      <c r="H31" s="188">
        <f t="shared" si="6"/>
        <v>-3525496.0462532034</v>
      </c>
    </row>
    <row r="32" spans="1:8" s="4" customFormat="1" thickBot="1">
      <c r="A32" s="4" t="s">
        <v>125</v>
      </c>
      <c r="B32" s="6" t="s">
        <v>17</v>
      </c>
      <c r="D32" s="4">
        <f>$F$11*$C$2*12</f>
        <v>4395924</v>
      </c>
      <c r="E32" s="4">
        <f t="shared" ref="E32:H32" si="7">$F$11*$C$2*12</f>
        <v>4395924</v>
      </c>
      <c r="F32" s="4">
        <f t="shared" si="7"/>
        <v>4395924</v>
      </c>
      <c r="G32" s="4">
        <f t="shared" si="7"/>
        <v>4395924</v>
      </c>
      <c r="H32" s="4">
        <f t="shared" si="7"/>
        <v>4395924</v>
      </c>
    </row>
    <row r="33" spans="1:14" s="170" customFormat="1" thickBot="1">
      <c r="A33" s="170" t="s">
        <v>126</v>
      </c>
      <c r="B33" s="192" t="s">
        <v>17</v>
      </c>
      <c r="D33" s="171">
        <f>D32+D31</f>
        <v>-617572.04625320248</v>
      </c>
      <c r="E33" s="171">
        <f t="shared" ref="E33:H33" si="8">E32+E31</f>
        <v>-245572.04625320341</v>
      </c>
      <c r="F33" s="171">
        <f t="shared" si="8"/>
        <v>126427.95374679659</v>
      </c>
      <c r="G33" s="171">
        <f t="shared" si="8"/>
        <v>498427.95374679659</v>
      </c>
      <c r="H33" s="171">
        <f t="shared" si="8"/>
        <v>870427.95374679659</v>
      </c>
    </row>
    <row r="34" spans="1:14" s="29" customFormat="1" ht="14">
      <c r="C34" s="29">
        <v>0</v>
      </c>
      <c r="D34" s="29">
        <v>1</v>
      </c>
      <c r="E34" s="29">
        <v>2</v>
      </c>
      <c r="F34" s="29">
        <v>3</v>
      </c>
      <c r="G34" s="29">
        <v>4</v>
      </c>
      <c r="H34" s="29">
        <v>5</v>
      </c>
    </row>
    <row r="35" spans="1:14" s="195" customFormat="1" ht="14">
      <c r="D35" s="195">
        <f>(D33)/(1+$C$13)^D34</f>
        <v>-551403.6127260736</v>
      </c>
      <c r="E35" s="195">
        <f>(E33)/(1+$C$13)^E34</f>
        <v>-195768.53177072972</v>
      </c>
      <c r="F35" s="195">
        <f>(F33)/(1+$C$13)^F34</f>
        <v>89988.920248437324</v>
      </c>
      <c r="G35" s="195">
        <f>(G33)/(1+$C$13)^G34</f>
        <v>316759.97538841626</v>
      </c>
      <c r="H35" s="195">
        <f>(H33)/(1+$C$13)^H34</f>
        <v>493904.19692411908</v>
      </c>
    </row>
    <row r="36" spans="1:14" s="29" customFormat="1" thickBot="1"/>
    <row r="37" spans="1:14" ht="16" thickBot="1">
      <c r="C37" s="216" t="s">
        <v>132</v>
      </c>
      <c r="D37" s="239">
        <f>SUM(D35:H35)-C18</f>
        <v>153480.94806416938</v>
      </c>
    </row>
    <row r="39" spans="1:14" ht="18">
      <c r="A39" s="189" t="s">
        <v>152</v>
      </c>
    </row>
    <row r="40" spans="1:14" s="4" customFormat="1" ht="14">
      <c r="A40" s="11" t="s">
        <v>21</v>
      </c>
      <c r="B40" s="6" t="s">
        <v>16</v>
      </c>
      <c r="C40" s="6" t="s">
        <v>45</v>
      </c>
      <c r="D40" s="6" t="s">
        <v>46</v>
      </c>
      <c r="E40" s="6" t="s">
        <v>47</v>
      </c>
      <c r="F40" s="6" t="s">
        <v>48</v>
      </c>
      <c r="G40" s="6" t="s">
        <v>49</v>
      </c>
      <c r="H40" s="6" t="s">
        <v>50</v>
      </c>
      <c r="I40" s="6" t="s">
        <v>51</v>
      </c>
      <c r="J40" s="6" t="s">
        <v>52</v>
      </c>
      <c r="K40" s="6" t="s">
        <v>53</v>
      </c>
      <c r="L40" s="6" t="s">
        <v>54</v>
      </c>
      <c r="M40" s="6" t="s">
        <v>55</v>
      </c>
    </row>
    <row r="41" spans="1:14" s="4" customFormat="1" ht="14">
      <c r="A41" s="4" t="s">
        <v>61</v>
      </c>
      <c r="B41" s="6" t="s">
        <v>17</v>
      </c>
      <c r="C41" s="6">
        <v>0</v>
      </c>
      <c r="D41" s="6"/>
      <c r="E41" s="6"/>
      <c r="F41" s="6"/>
      <c r="G41" s="6"/>
      <c r="H41" s="6"/>
    </row>
    <row r="42" spans="1:14" s="4" customFormat="1" ht="14">
      <c r="A42" s="4" t="s">
        <v>59</v>
      </c>
      <c r="B42" s="6" t="s">
        <v>17</v>
      </c>
      <c r="C42" s="6"/>
      <c r="D42" s="6"/>
      <c r="E42" s="6"/>
      <c r="F42" s="6"/>
      <c r="G42" s="6"/>
      <c r="H42" s="6"/>
    </row>
    <row r="43" spans="1:14" s="4" customFormat="1" ht="14">
      <c r="A43" s="4" t="s">
        <v>60</v>
      </c>
      <c r="B43" s="6" t="s">
        <v>17</v>
      </c>
      <c r="C43" s="6"/>
      <c r="D43" s="6"/>
      <c r="E43" s="6"/>
      <c r="F43" s="6"/>
      <c r="G43" s="6"/>
      <c r="H43" s="6"/>
    </row>
    <row r="44" spans="1:14" s="4" customFormat="1" ht="14">
      <c r="A44" s="217" t="s">
        <v>145</v>
      </c>
      <c r="B44" s="218" t="s">
        <v>17</v>
      </c>
      <c r="C44" s="6"/>
      <c r="D44" s="6">
        <f>-$C$3*$C$4*$C$2</f>
        <v>-1860000</v>
      </c>
      <c r="E44" s="6">
        <f>-($C$3-$L$4*E90)*$C$4*$C$2</f>
        <v>-1674000</v>
      </c>
      <c r="F44" s="6">
        <f t="shared" ref="F44:M44" si="9">-($C$3-$L$4*F90)*$C$4*$C$2</f>
        <v>-1488000</v>
      </c>
      <c r="G44" s="6">
        <f t="shared" si="9"/>
        <v>-1302000</v>
      </c>
      <c r="H44" s="6">
        <f t="shared" si="9"/>
        <v>-1116000</v>
      </c>
      <c r="I44" s="6">
        <f t="shared" si="9"/>
        <v>-930000</v>
      </c>
      <c r="J44" s="6">
        <f t="shared" si="9"/>
        <v>-744000</v>
      </c>
      <c r="K44" s="6">
        <f t="shared" si="9"/>
        <v>-558000</v>
      </c>
      <c r="L44" s="6">
        <f t="shared" si="9"/>
        <v>-372000</v>
      </c>
      <c r="M44" s="6">
        <f t="shared" si="9"/>
        <v>-186000</v>
      </c>
      <c r="N44" s="4">
        <f>SUM(D44:M44)</f>
        <v>-10230000</v>
      </c>
    </row>
    <row r="45" spans="1:14" s="5" customFormat="1" ht="14">
      <c r="A45" s="217" t="s">
        <v>120</v>
      </c>
      <c r="B45" s="218" t="s">
        <v>17</v>
      </c>
      <c r="C45" s="7"/>
      <c r="D45" s="6">
        <f>'Costos Unitarios'!$C$16*12*$C$2*0.7</f>
        <v>3281250.0000000005</v>
      </c>
      <c r="E45" s="6">
        <f>+D45</f>
        <v>3281250.0000000005</v>
      </c>
      <c r="F45" s="6">
        <f t="shared" ref="F45:M45" si="10">+E45</f>
        <v>3281250.0000000005</v>
      </c>
      <c r="G45" s="6">
        <f t="shared" si="10"/>
        <v>3281250.0000000005</v>
      </c>
      <c r="H45" s="6">
        <f t="shared" si="10"/>
        <v>3281250.0000000005</v>
      </c>
      <c r="I45" s="6">
        <f t="shared" si="10"/>
        <v>3281250.0000000005</v>
      </c>
      <c r="J45" s="6">
        <f t="shared" si="10"/>
        <v>3281250.0000000005</v>
      </c>
      <c r="K45" s="6">
        <f t="shared" si="10"/>
        <v>3281250.0000000005</v>
      </c>
      <c r="L45" s="6">
        <f t="shared" si="10"/>
        <v>3281250.0000000005</v>
      </c>
      <c r="M45" s="6">
        <f t="shared" si="10"/>
        <v>3281250.0000000005</v>
      </c>
      <c r="N45" s="4">
        <f t="shared" ref="N45:N53" si="11">SUM(D45:M45)</f>
        <v>32812500.000000004</v>
      </c>
    </row>
    <row r="46" spans="1:14" s="5" customFormat="1" ht="14">
      <c r="A46" s="217" t="s">
        <v>121</v>
      </c>
      <c r="B46" s="218" t="s">
        <v>17</v>
      </c>
      <c r="C46" s="7"/>
      <c r="D46" s="6">
        <f>+D23</f>
        <v>-1847475</v>
      </c>
      <c r="E46" s="6">
        <f>+D46</f>
        <v>-1847475</v>
      </c>
      <c r="F46" s="6">
        <f t="shared" ref="F46:M46" si="12">+E46</f>
        <v>-1847475</v>
      </c>
      <c r="G46" s="6">
        <f t="shared" si="12"/>
        <v>-1847475</v>
      </c>
      <c r="H46" s="6">
        <f t="shared" si="12"/>
        <v>-1847475</v>
      </c>
      <c r="I46" s="6">
        <f t="shared" si="12"/>
        <v>-1847475</v>
      </c>
      <c r="J46" s="6">
        <f t="shared" si="12"/>
        <v>-1847475</v>
      </c>
      <c r="K46" s="6">
        <f t="shared" si="12"/>
        <v>-1847475</v>
      </c>
      <c r="L46" s="6">
        <f t="shared" si="12"/>
        <v>-1847475</v>
      </c>
      <c r="M46" s="6">
        <f t="shared" si="12"/>
        <v>-1847475</v>
      </c>
      <c r="N46" s="4">
        <f t="shared" si="11"/>
        <v>-18474750</v>
      </c>
    </row>
    <row r="47" spans="1:14" s="5" customFormat="1" ht="14">
      <c r="A47" s="217" t="s">
        <v>122</v>
      </c>
      <c r="B47" s="218" t="s">
        <v>17</v>
      </c>
      <c r="C47" s="7"/>
      <c r="D47" s="6">
        <f>'Costos Unitarios'!$C$26*$C$2*12</f>
        <v>225449.21875000003</v>
      </c>
      <c r="E47" s="6">
        <f>+D47</f>
        <v>225449.21875000003</v>
      </c>
      <c r="F47" s="6">
        <f t="shared" ref="F47:M47" si="13">+E47</f>
        <v>225449.21875000003</v>
      </c>
      <c r="G47" s="6">
        <f t="shared" si="13"/>
        <v>225449.21875000003</v>
      </c>
      <c r="H47" s="6">
        <f t="shared" si="13"/>
        <v>225449.21875000003</v>
      </c>
      <c r="I47" s="6">
        <f t="shared" si="13"/>
        <v>225449.21875000003</v>
      </c>
      <c r="J47" s="6">
        <f t="shared" si="13"/>
        <v>225449.21875000003</v>
      </c>
      <c r="K47" s="6">
        <f t="shared" si="13"/>
        <v>225449.21875000003</v>
      </c>
      <c r="L47" s="6">
        <f t="shared" si="13"/>
        <v>225449.21875000003</v>
      </c>
      <c r="M47" s="6">
        <f t="shared" si="13"/>
        <v>225449.21875000003</v>
      </c>
      <c r="N47" s="4">
        <f t="shared" si="11"/>
        <v>2254492.1875000005</v>
      </c>
    </row>
    <row r="48" spans="1:14" s="5" customFormat="1" ht="14">
      <c r="A48" s="217" t="s">
        <v>123</v>
      </c>
      <c r="B48" s="218" t="s">
        <v>17</v>
      </c>
      <c r="C48" s="7"/>
      <c r="D48" s="6">
        <f>+D25</f>
        <v>111562.5</v>
      </c>
      <c r="E48" s="6">
        <f>+D48</f>
        <v>111562.5</v>
      </c>
      <c r="F48" s="6">
        <f t="shared" ref="F48:M48" si="14">+E48</f>
        <v>111562.5</v>
      </c>
      <c r="G48" s="6">
        <f t="shared" si="14"/>
        <v>111562.5</v>
      </c>
      <c r="H48" s="6">
        <f t="shared" si="14"/>
        <v>111562.5</v>
      </c>
      <c r="I48" s="6">
        <f t="shared" si="14"/>
        <v>111562.5</v>
      </c>
      <c r="J48" s="6">
        <f t="shared" si="14"/>
        <v>111562.5</v>
      </c>
      <c r="K48" s="6">
        <f t="shared" si="14"/>
        <v>111562.5</v>
      </c>
      <c r="L48" s="6">
        <f t="shared" si="14"/>
        <v>111562.5</v>
      </c>
      <c r="M48" s="6">
        <f t="shared" si="14"/>
        <v>111562.5</v>
      </c>
      <c r="N48" s="4">
        <f t="shared" si="11"/>
        <v>1115625</v>
      </c>
    </row>
    <row r="49" spans="1:15" s="18" customFormat="1" ht="14">
      <c r="A49" s="217" t="s">
        <v>189</v>
      </c>
      <c r="B49" s="219" t="s">
        <v>17</v>
      </c>
      <c r="C49" s="7"/>
      <c r="D49" s="197">
        <f>-$C$3/10*$C$2</f>
        <v>-3100000</v>
      </c>
      <c r="E49" s="197">
        <f t="shared" ref="E49:M49" si="15">-$C$3/10*$C$2</f>
        <v>-3100000</v>
      </c>
      <c r="F49" s="197">
        <f t="shared" si="15"/>
        <v>-3100000</v>
      </c>
      <c r="G49" s="197">
        <f t="shared" si="15"/>
        <v>-3100000</v>
      </c>
      <c r="H49" s="197">
        <f t="shared" si="15"/>
        <v>-3100000</v>
      </c>
      <c r="I49" s="197">
        <f t="shared" si="15"/>
        <v>-3100000</v>
      </c>
      <c r="J49" s="197">
        <f t="shared" si="15"/>
        <v>-3100000</v>
      </c>
      <c r="K49" s="197">
        <f t="shared" si="15"/>
        <v>-3100000</v>
      </c>
      <c r="L49" s="197">
        <f t="shared" si="15"/>
        <v>-3100000</v>
      </c>
      <c r="M49" s="197">
        <f t="shared" si="15"/>
        <v>-3100000</v>
      </c>
      <c r="N49" s="4">
        <f t="shared" si="11"/>
        <v>-31000000</v>
      </c>
    </row>
    <row r="50" spans="1:15" s="29" customFormat="1" ht="14">
      <c r="A50" s="217" t="s">
        <v>183</v>
      </c>
      <c r="B50" s="218" t="s">
        <v>17</v>
      </c>
      <c r="D50" s="6">
        <f>-$C$8*12</f>
        <v>0</v>
      </c>
      <c r="E50" s="6">
        <f t="shared" ref="E50:M50" si="16">-$C$8*12</f>
        <v>0</v>
      </c>
      <c r="F50" s="6">
        <f t="shared" si="16"/>
        <v>0</v>
      </c>
      <c r="G50" s="6">
        <f t="shared" si="16"/>
        <v>0</v>
      </c>
      <c r="H50" s="6">
        <f t="shared" si="16"/>
        <v>0</v>
      </c>
      <c r="I50" s="6">
        <f>-$C$8*12</f>
        <v>0</v>
      </c>
      <c r="J50" s="6">
        <f t="shared" si="16"/>
        <v>0</v>
      </c>
      <c r="K50" s="6">
        <f t="shared" si="16"/>
        <v>0</v>
      </c>
      <c r="L50" s="6">
        <f t="shared" si="16"/>
        <v>0</v>
      </c>
      <c r="M50" s="6">
        <f t="shared" si="16"/>
        <v>0</v>
      </c>
      <c r="N50" s="4">
        <f t="shared" si="11"/>
        <v>0</v>
      </c>
    </row>
    <row r="51" spans="1:15" s="29" customFormat="1" ht="14">
      <c r="A51" s="217" t="s">
        <v>150</v>
      </c>
      <c r="B51" s="218" t="s">
        <v>17</v>
      </c>
      <c r="D51" s="6">
        <f>+D28</f>
        <v>1275717.2349967968</v>
      </c>
      <c r="E51" s="6">
        <f>+D51</f>
        <v>1275717.2349967968</v>
      </c>
      <c r="F51" s="6">
        <f t="shared" ref="F51:M51" si="17">+E51</f>
        <v>1275717.2349967968</v>
      </c>
      <c r="G51" s="6">
        <f t="shared" si="17"/>
        <v>1275717.2349967968</v>
      </c>
      <c r="H51" s="6">
        <f t="shared" si="17"/>
        <v>1275717.2349967968</v>
      </c>
      <c r="I51" s="6">
        <f t="shared" si="17"/>
        <v>1275717.2349967968</v>
      </c>
      <c r="J51" s="6">
        <f t="shared" si="17"/>
        <v>1275717.2349967968</v>
      </c>
      <c r="K51" s="6">
        <f t="shared" si="17"/>
        <v>1275717.2349967968</v>
      </c>
      <c r="L51" s="6">
        <f t="shared" si="17"/>
        <v>1275717.2349967968</v>
      </c>
      <c r="M51" s="6">
        <f t="shared" si="17"/>
        <v>1275717.2349967968</v>
      </c>
      <c r="N51" s="4">
        <f t="shared" si="11"/>
        <v>12757172.34996797</v>
      </c>
    </row>
    <row r="52" spans="1:15" s="29" customFormat="1" ht="14">
      <c r="A52" s="217" t="s">
        <v>164</v>
      </c>
      <c r="B52" s="218" t="s">
        <v>17</v>
      </c>
      <c r="D52" s="6">
        <f>$C$6*$C$5*$C$2*12</f>
        <v>0</v>
      </c>
      <c r="E52" s="6">
        <f t="shared" ref="E52:M52" si="18">$C$6*$C$5*$C$2*12</f>
        <v>0</v>
      </c>
      <c r="F52" s="6">
        <f t="shared" si="18"/>
        <v>0</v>
      </c>
      <c r="G52" s="6">
        <f t="shared" si="18"/>
        <v>0</v>
      </c>
      <c r="H52" s="6">
        <f t="shared" si="18"/>
        <v>0</v>
      </c>
      <c r="I52" s="6">
        <f>$C$6*$C$5*$C$2*12</f>
        <v>0</v>
      </c>
      <c r="J52" s="6">
        <f t="shared" si="18"/>
        <v>0</v>
      </c>
      <c r="K52" s="6">
        <f t="shared" si="18"/>
        <v>0</v>
      </c>
      <c r="L52" s="6">
        <f t="shared" si="18"/>
        <v>0</v>
      </c>
      <c r="M52" s="6">
        <f t="shared" si="18"/>
        <v>0</v>
      </c>
      <c r="N52" s="4">
        <f t="shared" si="11"/>
        <v>0</v>
      </c>
    </row>
    <row r="53" spans="1:15" s="29" customFormat="1" ht="14">
      <c r="A53" s="217" t="s">
        <v>182</v>
      </c>
      <c r="B53" s="218"/>
      <c r="D53" s="6">
        <f>$C$9*12</f>
        <v>0</v>
      </c>
      <c r="E53" s="6">
        <f t="shared" ref="E53:M53" si="19">$C$9*12</f>
        <v>0</v>
      </c>
      <c r="F53" s="6">
        <f t="shared" si="19"/>
        <v>0</v>
      </c>
      <c r="G53" s="6">
        <f t="shared" si="19"/>
        <v>0</v>
      </c>
      <c r="H53" s="6">
        <f t="shared" si="19"/>
        <v>0</v>
      </c>
      <c r="I53" s="6">
        <f>$C$9*12</f>
        <v>0</v>
      </c>
      <c r="J53" s="6">
        <f t="shared" si="19"/>
        <v>0</v>
      </c>
      <c r="K53" s="6">
        <f t="shared" si="19"/>
        <v>0</v>
      </c>
      <c r="L53" s="6">
        <f t="shared" si="19"/>
        <v>0</v>
      </c>
      <c r="M53" s="6">
        <f t="shared" si="19"/>
        <v>0</v>
      </c>
      <c r="N53" s="4">
        <f t="shared" si="11"/>
        <v>0</v>
      </c>
    </row>
    <row r="54" spans="1:15" s="187" customFormat="1" ht="14">
      <c r="A54" s="185" t="s">
        <v>127</v>
      </c>
      <c r="B54" s="191" t="s">
        <v>17</v>
      </c>
      <c r="D54" s="188">
        <f>SUM(D41:D53)</f>
        <v>-1913496.0462532027</v>
      </c>
      <c r="E54" s="188">
        <f t="shared" ref="E54:M54" si="20">SUM(E41:E53)</f>
        <v>-1727496.0462532027</v>
      </c>
      <c r="F54" s="188">
        <f t="shared" si="20"/>
        <v>-1541496.0462532027</v>
      </c>
      <c r="G54" s="188">
        <f t="shared" si="20"/>
        <v>-1355496.0462532027</v>
      </c>
      <c r="H54" s="188">
        <f t="shared" si="20"/>
        <v>-1169496.0462532027</v>
      </c>
      <c r="I54" s="188">
        <f t="shared" si="20"/>
        <v>-983496.04625320272</v>
      </c>
      <c r="J54" s="188">
        <f t="shared" si="20"/>
        <v>-797496.04625320272</v>
      </c>
      <c r="K54" s="188">
        <f t="shared" si="20"/>
        <v>-611496.04625320272</v>
      </c>
      <c r="L54" s="188">
        <f t="shared" si="20"/>
        <v>-425496.04625320272</v>
      </c>
      <c r="M54" s="188">
        <f t="shared" si="20"/>
        <v>-239496.04625320272</v>
      </c>
    </row>
    <row r="55" spans="1:15" s="4" customFormat="1" thickBot="1">
      <c r="A55" s="4" t="s">
        <v>125</v>
      </c>
      <c r="B55" s="6" t="s">
        <v>17</v>
      </c>
      <c r="D55" s="4">
        <f>$G$11*$C$2*12</f>
        <v>1276236</v>
      </c>
      <c r="E55" s="4">
        <f t="shared" ref="E55:M55" si="21">$G$11*$C$2*12</f>
        <v>1276236</v>
      </c>
      <c r="F55" s="4">
        <f t="shared" si="21"/>
        <v>1276236</v>
      </c>
      <c r="G55" s="4">
        <f t="shared" si="21"/>
        <v>1276236</v>
      </c>
      <c r="H55" s="4">
        <f t="shared" si="21"/>
        <v>1276236</v>
      </c>
      <c r="I55" s="4">
        <f t="shared" si="21"/>
        <v>1276236</v>
      </c>
      <c r="J55" s="4">
        <f t="shared" si="21"/>
        <v>1276236</v>
      </c>
      <c r="K55" s="4">
        <f t="shared" si="21"/>
        <v>1276236</v>
      </c>
      <c r="L55" s="4">
        <f t="shared" si="21"/>
        <v>1276236</v>
      </c>
      <c r="M55" s="4">
        <f t="shared" si="21"/>
        <v>1276236</v>
      </c>
    </row>
    <row r="56" spans="1:15" s="170" customFormat="1" thickBot="1">
      <c r="A56" s="170" t="s">
        <v>126</v>
      </c>
      <c r="B56" s="192" t="s">
        <v>17</v>
      </c>
      <c r="D56" s="171">
        <f>D55+D54</f>
        <v>-637260.04625320272</v>
      </c>
      <c r="E56" s="171">
        <f t="shared" ref="E56:H56" si="22">E55+E54</f>
        <v>-451260.04625320272</v>
      </c>
      <c r="F56" s="171">
        <f t="shared" si="22"/>
        <v>-265260.04625320272</v>
      </c>
      <c r="G56" s="171">
        <f t="shared" si="22"/>
        <v>-79260.046253202716</v>
      </c>
      <c r="H56" s="171">
        <f t="shared" si="22"/>
        <v>106739.95374679728</v>
      </c>
      <c r="I56" s="171">
        <f>I55+I54</f>
        <v>292739.95374679728</v>
      </c>
      <c r="J56" s="171">
        <f t="shared" ref="J56:M56" si="23">J55+J54</f>
        <v>478739.95374679728</v>
      </c>
      <c r="K56" s="171">
        <f t="shared" si="23"/>
        <v>664739.95374679728</v>
      </c>
      <c r="L56" s="171">
        <f t="shared" si="23"/>
        <v>850739.95374679728</v>
      </c>
      <c r="M56" s="171">
        <f t="shared" si="23"/>
        <v>1036739.9537467973</v>
      </c>
    </row>
    <row r="57" spans="1:15" s="29" customFormat="1" ht="14">
      <c r="C57" s="29">
        <v>0</v>
      </c>
      <c r="D57" s="29">
        <v>1</v>
      </c>
      <c r="E57" s="29">
        <v>2</v>
      </c>
      <c r="F57" s="29">
        <v>3</v>
      </c>
      <c r="G57" s="29">
        <v>4</v>
      </c>
      <c r="H57" s="29">
        <v>5</v>
      </c>
      <c r="I57" s="29">
        <v>6</v>
      </c>
      <c r="J57" s="29">
        <v>7</v>
      </c>
      <c r="K57" s="29">
        <v>8</v>
      </c>
      <c r="L57" s="29">
        <v>9</v>
      </c>
      <c r="M57" s="29">
        <v>10</v>
      </c>
    </row>
    <row r="58" spans="1:15" s="195" customFormat="1" ht="14">
      <c r="D58" s="195">
        <f>(D56)/(1+$C$13)^D57</f>
        <v>-568982.18415464519</v>
      </c>
      <c r="E58" s="195">
        <f t="shared" ref="E58:H58" si="24">(E56)/(1+$C$13)^E57</f>
        <v>-359741.74605644343</v>
      </c>
      <c r="F58" s="195">
        <f t="shared" si="24"/>
        <v>-188806.86145710145</v>
      </c>
      <c r="G58" s="195">
        <f t="shared" si="24"/>
        <v>-50371.192289113431</v>
      </c>
      <c r="H58" s="195">
        <f t="shared" si="24"/>
        <v>60567.116334093895</v>
      </c>
      <c r="I58" s="195">
        <f>(I56)/(1+$C$13)^I57</f>
        <v>148311.1709801369</v>
      </c>
      <c r="J58" s="195">
        <f t="shared" ref="J58:M58" si="25">(J56)/(1+$C$13)^J57</f>
        <v>216557.64242778442</v>
      </c>
      <c r="K58" s="195">
        <f t="shared" si="25"/>
        <v>268477.31828611303</v>
      </c>
      <c r="L58" s="195">
        <f t="shared" si="25"/>
        <v>306785.35597346042</v>
      </c>
      <c r="M58" s="195">
        <f t="shared" si="25"/>
        <v>333802.51841074479</v>
      </c>
    </row>
    <row r="59" spans="1:15" s="29" customFormat="1" thickBot="1"/>
    <row r="60" spans="1:15" ht="16" thickBot="1">
      <c r="C60" s="216" t="s">
        <v>131</v>
      </c>
      <c r="D60" s="239">
        <f>SUM(D58:M58)-C41</f>
        <v>166599.13845502975</v>
      </c>
    </row>
    <row r="62" spans="1:15" ht="18">
      <c r="A62" s="189" t="s">
        <v>154</v>
      </c>
    </row>
    <row r="63" spans="1:15" s="4" customFormat="1" ht="14">
      <c r="A63" s="11" t="s">
        <v>21</v>
      </c>
      <c r="B63" s="6" t="s">
        <v>16</v>
      </c>
      <c r="C63" s="6" t="s">
        <v>45</v>
      </c>
      <c r="D63" s="6" t="s">
        <v>46</v>
      </c>
      <c r="E63" s="6" t="s">
        <v>47</v>
      </c>
      <c r="F63" s="6" t="s">
        <v>48</v>
      </c>
      <c r="G63" s="6" t="s">
        <v>49</v>
      </c>
      <c r="H63" s="6" t="s">
        <v>50</v>
      </c>
      <c r="I63" s="6" t="s">
        <v>51</v>
      </c>
      <c r="J63" s="6" t="s">
        <v>52</v>
      </c>
      <c r="K63" s="6" t="s">
        <v>53</v>
      </c>
      <c r="L63" s="6" t="s">
        <v>54</v>
      </c>
      <c r="M63" s="6" t="s">
        <v>55</v>
      </c>
      <c r="N63" s="6" t="s">
        <v>56</v>
      </c>
      <c r="O63" s="6" t="s">
        <v>57</v>
      </c>
    </row>
    <row r="64" spans="1:15" s="4" customFormat="1" ht="14">
      <c r="A64" s="4" t="s">
        <v>61</v>
      </c>
      <c r="B64" s="6" t="s">
        <v>17</v>
      </c>
      <c r="C64" s="6">
        <v>0</v>
      </c>
      <c r="D64" s="6"/>
      <c r="E64" s="6"/>
      <c r="F64" s="6"/>
      <c r="G64" s="6"/>
      <c r="H64" s="6"/>
      <c r="I64" s="6"/>
      <c r="J64" s="6"/>
      <c r="K64" s="6"/>
      <c r="L64" s="6"/>
      <c r="M64" s="6"/>
    </row>
    <row r="65" spans="1:15" s="4" customFormat="1" ht="14">
      <c r="A65" s="4" t="s">
        <v>59</v>
      </c>
      <c r="B65" s="6" t="s">
        <v>17</v>
      </c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</row>
    <row r="66" spans="1:15" s="4" customFormat="1" ht="14">
      <c r="A66" s="220" t="s">
        <v>60</v>
      </c>
      <c r="B66" s="221" t="s">
        <v>17</v>
      </c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</row>
    <row r="67" spans="1:15" s="4" customFormat="1" ht="14">
      <c r="A67" s="217" t="s">
        <v>145</v>
      </c>
      <c r="B67" s="218" t="s">
        <v>17</v>
      </c>
      <c r="C67" s="6"/>
      <c r="D67" s="6">
        <f>-$C$3*$C$4*$C$2</f>
        <v>-1860000</v>
      </c>
      <c r="E67" s="6">
        <f>-($C$3-$L$5*E90)*$C$4*$C$2</f>
        <v>-1705000</v>
      </c>
      <c r="F67" s="6">
        <f t="shared" ref="F67:O67" si="26">-($C$3-$L$5*F90)*$C$4*$C$2</f>
        <v>-1550000</v>
      </c>
      <c r="G67" s="6">
        <f t="shared" si="26"/>
        <v>-1395000</v>
      </c>
      <c r="H67" s="6">
        <f t="shared" si="26"/>
        <v>-1240000</v>
      </c>
      <c r="I67" s="6">
        <f t="shared" si="26"/>
        <v>-1085000</v>
      </c>
      <c r="J67" s="6">
        <f t="shared" si="26"/>
        <v>-930000</v>
      </c>
      <c r="K67" s="6">
        <f t="shared" si="26"/>
        <v>-775000.00000000012</v>
      </c>
      <c r="L67" s="6">
        <f t="shared" si="26"/>
        <v>-620000</v>
      </c>
      <c r="M67" s="6">
        <f t="shared" si="26"/>
        <v>-465000</v>
      </c>
      <c r="N67" s="6">
        <f t="shared" si="26"/>
        <v>-310000.00000000012</v>
      </c>
      <c r="O67" s="6">
        <f t="shared" si="26"/>
        <v>-155000.00000000023</v>
      </c>
    </row>
    <row r="68" spans="1:15" s="5" customFormat="1" ht="14">
      <c r="A68" s="217" t="s">
        <v>120</v>
      </c>
      <c r="B68" s="218" t="s">
        <v>17</v>
      </c>
      <c r="C68" s="7"/>
      <c r="D68" s="6">
        <f>+D45</f>
        <v>3281250.0000000005</v>
      </c>
      <c r="E68" s="6">
        <f>+D68</f>
        <v>3281250.0000000005</v>
      </c>
      <c r="F68" s="6">
        <f t="shared" ref="F68:O68" si="27">+E68</f>
        <v>3281250.0000000005</v>
      </c>
      <c r="G68" s="6">
        <f t="shared" si="27"/>
        <v>3281250.0000000005</v>
      </c>
      <c r="H68" s="6">
        <f t="shared" si="27"/>
        <v>3281250.0000000005</v>
      </c>
      <c r="I68" s="6">
        <f t="shared" si="27"/>
        <v>3281250.0000000005</v>
      </c>
      <c r="J68" s="6">
        <f t="shared" si="27"/>
        <v>3281250.0000000005</v>
      </c>
      <c r="K68" s="6">
        <f t="shared" si="27"/>
        <v>3281250.0000000005</v>
      </c>
      <c r="L68" s="6">
        <f t="shared" si="27"/>
        <v>3281250.0000000005</v>
      </c>
      <c r="M68" s="6">
        <f t="shared" si="27"/>
        <v>3281250.0000000005</v>
      </c>
      <c r="N68" s="6">
        <f t="shared" si="27"/>
        <v>3281250.0000000005</v>
      </c>
      <c r="O68" s="6">
        <f t="shared" si="27"/>
        <v>3281250.0000000005</v>
      </c>
    </row>
    <row r="69" spans="1:15" s="5" customFormat="1" ht="14">
      <c r="A69" s="217" t="s">
        <v>121</v>
      </c>
      <c r="B69" s="218" t="s">
        <v>17</v>
      </c>
      <c r="C69" s="7"/>
      <c r="D69" s="6">
        <f>+D46</f>
        <v>-1847475</v>
      </c>
      <c r="E69" s="6">
        <f>+D69</f>
        <v>-1847475</v>
      </c>
      <c r="F69" s="6">
        <f t="shared" ref="F69:O69" si="28">+E69</f>
        <v>-1847475</v>
      </c>
      <c r="G69" s="6">
        <f t="shared" si="28"/>
        <v>-1847475</v>
      </c>
      <c r="H69" s="6">
        <f t="shared" si="28"/>
        <v>-1847475</v>
      </c>
      <c r="I69" s="6">
        <f t="shared" si="28"/>
        <v>-1847475</v>
      </c>
      <c r="J69" s="6">
        <f t="shared" si="28"/>
        <v>-1847475</v>
      </c>
      <c r="K69" s="6">
        <f t="shared" si="28"/>
        <v>-1847475</v>
      </c>
      <c r="L69" s="6">
        <f t="shared" si="28"/>
        <v>-1847475</v>
      </c>
      <c r="M69" s="6">
        <f t="shared" si="28"/>
        <v>-1847475</v>
      </c>
      <c r="N69" s="6">
        <f t="shared" si="28"/>
        <v>-1847475</v>
      </c>
      <c r="O69" s="6">
        <f t="shared" si="28"/>
        <v>-1847475</v>
      </c>
    </row>
    <row r="70" spans="1:15" s="5" customFormat="1" ht="14">
      <c r="A70" s="217" t="s">
        <v>122</v>
      </c>
      <c r="B70" s="218" t="s">
        <v>17</v>
      </c>
      <c r="C70" s="7"/>
      <c r="D70" s="6">
        <f>+D47</f>
        <v>225449.21875000003</v>
      </c>
      <c r="E70" s="6">
        <f>+D70</f>
        <v>225449.21875000003</v>
      </c>
      <c r="F70" s="6">
        <f t="shared" ref="F70:O70" si="29">+E70</f>
        <v>225449.21875000003</v>
      </c>
      <c r="G70" s="6">
        <f t="shared" si="29"/>
        <v>225449.21875000003</v>
      </c>
      <c r="H70" s="6">
        <f t="shared" si="29"/>
        <v>225449.21875000003</v>
      </c>
      <c r="I70" s="6">
        <f t="shared" si="29"/>
        <v>225449.21875000003</v>
      </c>
      <c r="J70" s="6">
        <f t="shared" si="29"/>
        <v>225449.21875000003</v>
      </c>
      <c r="K70" s="6">
        <f t="shared" si="29"/>
        <v>225449.21875000003</v>
      </c>
      <c r="L70" s="6">
        <f t="shared" si="29"/>
        <v>225449.21875000003</v>
      </c>
      <c r="M70" s="6">
        <f t="shared" si="29"/>
        <v>225449.21875000003</v>
      </c>
      <c r="N70" s="6">
        <f t="shared" si="29"/>
        <v>225449.21875000003</v>
      </c>
      <c r="O70" s="6">
        <f t="shared" si="29"/>
        <v>225449.21875000003</v>
      </c>
    </row>
    <row r="71" spans="1:15" s="5" customFormat="1" ht="14">
      <c r="A71" s="217" t="s">
        <v>123</v>
      </c>
      <c r="B71" s="218" t="s">
        <v>17</v>
      </c>
      <c r="C71" s="7"/>
      <c r="D71" s="6">
        <f>+D48</f>
        <v>111562.5</v>
      </c>
      <c r="E71" s="6">
        <f>+D71</f>
        <v>111562.5</v>
      </c>
      <c r="F71" s="6">
        <f t="shared" ref="F71:O71" si="30">+E71</f>
        <v>111562.5</v>
      </c>
      <c r="G71" s="6">
        <f t="shared" si="30"/>
        <v>111562.5</v>
      </c>
      <c r="H71" s="6">
        <f t="shared" si="30"/>
        <v>111562.5</v>
      </c>
      <c r="I71" s="6">
        <f t="shared" si="30"/>
        <v>111562.5</v>
      </c>
      <c r="J71" s="6">
        <f t="shared" si="30"/>
        <v>111562.5</v>
      </c>
      <c r="K71" s="6">
        <f t="shared" si="30"/>
        <v>111562.5</v>
      </c>
      <c r="L71" s="6">
        <f t="shared" si="30"/>
        <v>111562.5</v>
      </c>
      <c r="M71" s="6">
        <f t="shared" si="30"/>
        <v>111562.5</v>
      </c>
      <c r="N71" s="6">
        <f t="shared" si="30"/>
        <v>111562.5</v>
      </c>
      <c r="O71" s="6">
        <f t="shared" si="30"/>
        <v>111562.5</v>
      </c>
    </row>
    <row r="72" spans="1:15" s="18" customFormat="1" ht="14">
      <c r="A72" s="217" t="s">
        <v>200</v>
      </c>
      <c r="B72" s="219" t="s">
        <v>17</v>
      </c>
      <c r="C72" s="7"/>
      <c r="D72" s="197">
        <f>-$C$3/12*$C$2</f>
        <v>-2583333.333333333</v>
      </c>
      <c r="E72" s="197">
        <f>-$C$3/12*$C$2</f>
        <v>-2583333.333333333</v>
      </c>
      <c r="F72" s="197">
        <f t="shared" ref="F72:O72" si="31">-$C$3/12*$C$2</f>
        <v>-2583333.333333333</v>
      </c>
      <c r="G72" s="197">
        <f t="shared" si="31"/>
        <v>-2583333.333333333</v>
      </c>
      <c r="H72" s="197">
        <f t="shared" si="31"/>
        <v>-2583333.333333333</v>
      </c>
      <c r="I72" s="197">
        <f t="shared" si="31"/>
        <v>-2583333.333333333</v>
      </c>
      <c r="J72" s="197">
        <f t="shared" si="31"/>
        <v>-2583333.333333333</v>
      </c>
      <c r="K72" s="197">
        <f t="shared" si="31"/>
        <v>-2583333.333333333</v>
      </c>
      <c r="L72" s="197">
        <f t="shared" si="31"/>
        <v>-2583333.333333333</v>
      </c>
      <c r="M72" s="197">
        <f t="shared" si="31"/>
        <v>-2583333.333333333</v>
      </c>
      <c r="N72" s="197">
        <f t="shared" si="31"/>
        <v>-2583333.333333333</v>
      </c>
      <c r="O72" s="197">
        <f t="shared" si="31"/>
        <v>-2583333.333333333</v>
      </c>
    </row>
    <row r="73" spans="1:15" s="29" customFormat="1" ht="14">
      <c r="A73" s="217" t="s">
        <v>183</v>
      </c>
      <c r="B73" s="218" t="s">
        <v>17</v>
      </c>
      <c r="D73" s="6">
        <f>-$C$8*12</f>
        <v>0</v>
      </c>
      <c r="E73" s="6">
        <f t="shared" ref="E73:O73" si="32">-$C$8*12</f>
        <v>0</v>
      </c>
      <c r="F73" s="6">
        <f t="shared" si="32"/>
        <v>0</v>
      </c>
      <c r="G73" s="6">
        <f t="shared" si="32"/>
        <v>0</v>
      </c>
      <c r="H73" s="6">
        <f t="shared" si="32"/>
        <v>0</v>
      </c>
      <c r="I73" s="6">
        <f>-$C$8*12</f>
        <v>0</v>
      </c>
      <c r="J73" s="6">
        <f t="shared" si="32"/>
        <v>0</v>
      </c>
      <c r="K73" s="6">
        <f t="shared" si="32"/>
        <v>0</v>
      </c>
      <c r="L73" s="6">
        <f t="shared" si="32"/>
        <v>0</v>
      </c>
      <c r="M73" s="6">
        <f t="shared" si="32"/>
        <v>0</v>
      </c>
      <c r="N73" s="6">
        <f t="shared" si="32"/>
        <v>0</v>
      </c>
      <c r="O73" s="6">
        <f t="shared" si="32"/>
        <v>0</v>
      </c>
    </row>
    <row r="74" spans="1:15" s="29" customFormat="1" ht="14">
      <c r="A74" s="217" t="s">
        <v>150</v>
      </c>
      <c r="B74" s="218" t="s">
        <v>17</v>
      </c>
      <c r="D74" s="6">
        <f>+D51</f>
        <v>1275717.2349967968</v>
      </c>
      <c r="E74" s="6">
        <f>+D74</f>
        <v>1275717.2349967968</v>
      </c>
      <c r="F74" s="6">
        <f t="shared" ref="F74:O74" si="33">+E74</f>
        <v>1275717.2349967968</v>
      </c>
      <c r="G74" s="6">
        <f t="shared" si="33"/>
        <v>1275717.2349967968</v>
      </c>
      <c r="H74" s="6">
        <f t="shared" si="33"/>
        <v>1275717.2349967968</v>
      </c>
      <c r="I74" s="6">
        <f t="shared" si="33"/>
        <v>1275717.2349967968</v>
      </c>
      <c r="J74" s="6">
        <f t="shared" si="33"/>
        <v>1275717.2349967968</v>
      </c>
      <c r="K74" s="6">
        <f t="shared" si="33"/>
        <v>1275717.2349967968</v>
      </c>
      <c r="L74" s="6">
        <f t="shared" si="33"/>
        <v>1275717.2349967968</v>
      </c>
      <c r="M74" s="6">
        <f t="shared" si="33"/>
        <v>1275717.2349967968</v>
      </c>
      <c r="N74" s="6">
        <f t="shared" si="33"/>
        <v>1275717.2349967968</v>
      </c>
      <c r="O74" s="6">
        <f t="shared" si="33"/>
        <v>1275717.2349967968</v>
      </c>
    </row>
    <row r="75" spans="1:15" s="29" customFormat="1" ht="14">
      <c r="A75" s="217" t="s">
        <v>164</v>
      </c>
      <c r="B75" s="218" t="s">
        <v>17</v>
      </c>
      <c r="D75" s="6">
        <f>$C$6*$C$5*$C$2*12</f>
        <v>0</v>
      </c>
      <c r="E75" s="6">
        <f t="shared" ref="E75:O75" si="34">$C$6*$C$5*$C$2*12</f>
        <v>0</v>
      </c>
      <c r="F75" s="6">
        <f t="shared" si="34"/>
        <v>0</v>
      </c>
      <c r="G75" s="6">
        <f t="shared" si="34"/>
        <v>0</v>
      </c>
      <c r="H75" s="6">
        <f t="shared" si="34"/>
        <v>0</v>
      </c>
      <c r="I75" s="6">
        <f>$C$6*$C$5*$C$2*12</f>
        <v>0</v>
      </c>
      <c r="J75" s="6">
        <f t="shared" si="34"/>
        <v>0</v>
      </c>
      <c r="K75" s="6">
        <f t="shared" si="34"/>
        <v>0</v>
      </c>
      <c r="L75" s="6">
        <f t="shared" si="34"/>
        <v>0</v>
      </c>
      <c r="M75" s="6">
        <f t="shared" si="34"/>
        <v>0</v>
      </c>
      <c r="N75" s="6">
        <f t="shared" si="34"/>
        <v>0</v>
      </c>
      <c r="O75" s="6">
        <f t="shared" si="34"/>
        <v>0</v>
      </c>
    </row>
    <row r="76" spans="1:15" s="29" customFormat="1" ht="14">
      <c r="A76" s="217" t="s">
        <v>182</v>
      </c>
      <c r="B76" s="218"/>
      <c r="D76" s="6">
        <f>$C$9*12</f>
        <v>0</v>
      </c>
      <c r="E76" s="6">
        <f t="shared" ref="E76:O76" si="35">$C$9*12</f>
        <v>0</v>
      </c>
      <c r="F76" s="6">
        <f t="shared" si="35"/>
        <v>0</v>
      </c>
      <c r="G76" s="6">
        <f t="shared" si="35"/>
        <v>0</v>
      </c>
      <c r="H76" s="6">
        <f t="shared" si="35"/>
        <v>0</v>
      </c>
      <c r="I76" s="6">
        <f>$C$9*12</f>
        <v>0</v>
      </c>
      <c r="J76" s="6">
        <f t="shared" si="35"/>
        <v>0</v>
      </c>
      <c r="K76" s="6">
        <f t="shared" si="35"/>
        <v>0</v>
      </c>
      <c r="L76" s="6">
        <f t="shared" si="35"/>
        <v>0</v>
      </c>
      <c r="M76" s="6">
        <f t="shared" si="35"/>
        <v>0</v>
      </c>
      <c r="N76" s="6">
        <f t="shared" si="35"/>
        <v>0</v>
      </c>
      <c r="O76" s="6">
        <f t="shared" si="35"/>
        <v>0</v>
      </c>
    </row>
    <row r="77" spans="1:15" s="187" customFormat="1" ht="14">
      <c r="A77" s="185" t="s">
        <v>127</v>
      </c>
      <c r="B77" s="191" t="s">
        <v>17</v>
      </c>
      <c r="D77" s="188">
        <f>SUM(D64:D76)</f>
        <v>-1396829.3795865357</v>
      </c>
      <c r="E77" s="188">
        <f t="shared" ref="E77:O77" si="36">SUM(E64:E76)</f>
        <v>-1241829.3795865357</v>
      </c>
      <c r="F77" s="188">
        <f t="shared" si="36"/>
        <v>-1086829.3795865357</v>
      </c>
      <c r="G77" s="188">
        <f t="shared" si="36"/>
        <v>-931829.37958653574</v>
      </c>
      <c r="H77" s="188">
        <f t="shared" si="36"/>
        <v>-776829.37958653574</v>
      </c>
      <c r="I77" s="188">
        <f t="shared" si="36"/>
        <v>-621829.37958653574</v>
      </c>
      <c r="J77" s="188">
        <f t="shared" si="36"/>
        <v>-466829.37958653574</v>
      </c>
      <c r="K77" s="188">
        <f t="shared" si="36"/>
        <v>-311829.37958653574</v>
      </c>
      <c r="L77" s="188">
        <f t="shared" si="36"/>
        <v>-156829.37958653574</v>
      </c>
      <c r="M77" s="188">
        <f t="shared" si="36"/>
        <v>-1829.3795865357388</v>
      </c>
      <c r="N77" s="188">
        <f t="shared" si="36"/>
        <v>153170.62041346426</v>
      </c>
      <c r="O77" s="188">
        <f t="shared" si="36"/>
        <v>308170.6204134638</v>
      </c>
    </row>
    <row r="78" spans="1:15" s="4" customFormat="1" thickBot="1">
      <c r="A78" s="4" t="s">
        <v>125</v>
      </c>
      <c r="B78" s="6" t="s">
        <v>17</v>
      </c>
      <c r="D78" s="4">
        <f>$H$11*$C$2*12</f>
        <v>756288</v>
      </c>
      <c r="E78" s="4">
        <f t="shared" ref="E78:O78" si="37">$H$11*$C$2*12</f>
        <v>756288</v>
      </c>
      <c r="F78" s="4">
        <f t="shared" si="37"/>
        <v>756288</v>
      </c>
      <c r="G78" s="4">
        <f t="shared" si="37"/>
        <v>756288</v>
      </c>
      <c r="H78" s="4">
        <f t="shared" si="37"/>
        <v>756288</v>
      </c>
      <c r="I78" s="4">
        <f t="shared" si="37"/>
        <v>756288</v>
      </c>
      <c r="J78" s="4">
        <f t="shared" si="37"/>
        <v>756288</v>
      </c>
      <c r="K78" s="4">
        <f t="shared" si="37"/>
        <v>756288</v>
      </c>
      <c r="L78" s="4">
        <f t="shared" si="37"/>
        <v>756288</v>
      </c>
      <c r="M78" s="4">
        <f t="shared" si="37"/>
        <v>756288</v>
      </c>
      <c r="N78" s="4">
        <f t="shared" si="37"/>
        <v>756288</v>
      </c>
      <c r="O78" s="4">
        <f t="shared" si="37"/>
        <v>756288</v>
      </c>
    </row>
    <row r="79" spans="1:15" s="170" customFormat="1" thickBot="1">
      <c r="A79" s="170" t="s">
        <v>126</v>
      </c>
      <c r="B79" s="192" t="s">
        <v>17</v>
      </c>
      <c r="D79" s="171">
        <f>+D77+D78</f>
        <v>-640541.37958653574</v>
      </c>
      <c r="E79" s="171">
        <f t="shared" ref="E79:O79" si="38">+E77+E78</f>
        <v>-485541.37958653574</v>
      </c>
      <c r="F79" s="171">
        <f t="shared" si="38"/>
        <v>-330541.37958653574</v>
      </c>
      <c r="G79" s="171">
        <f t="shared" si="38"/>
        <v>-175541.37958653574</v>
      </c>
      <c r="H79" s="171">
        <f t="shared" si="38"/>
        <v>-20541.379586535739</v>
      </c>
      <c r="I79" s="171">
        <f t="shared" si="38"/>
        <v>134458.62041346426</v>
      </c>
      <c r="J79" s="171">
        <f t="shared" si="38"/>
        <v>289458.62041346426</v>
      </c>
      <c r="K79" s="171">
        <f t="shared" si="38"/>
        <v>444458.62041346426</v>
      </c>
      <c r="L79" s="171">
        <f t="shared" si="38"/>
        <v>599458.62041346426</v>
      </c>
      <c r="M79" s="171">
        <f t="shared" si="38"/>
        <v>754458.62041346426</v>
      </c>
      <c r="N79" s="171">
        <f t="shared" si="38"/>
        <v>909458.62041346426</v>
      </c>
      <c r="O79" s="171">
        <f t="shared" si="38"/>
        <v>1064458.6204134638</v>
      </c>
    </row>
    <row r="80" spans="1:15" s="29" customFormat="1" ht="14">
      <c r="C80" s="29">
        <v>0</v>
      </c>
      <c r="D80" s="29">
        <v>1</v>
      </c>
      <c r="E80" s="29">
        <v>2</v>
      </c>
      <c r="F80" s="29">
        <v>3</v>
      </c>
      <c r="G80" s="29">
        <v>4</v>
      </c>
      <c r="H80" s="29">
        <v>5</v>
      </c>
      <c r="I80" s="29">
        <v>6</v>
      </c>
      <c r="J80" s="29">
        <v>7</v>
      </c>
      <c r="K80" s="29">
        <v>8</v>
      </c>
      <c r="L80" s="29">
        <v>9</v>
      </c>
      <c r="M80" s="29">
        <v>10</v>
      </c>
      <c r="N80" s="29">
        <v>11</v>
      </c>
      <c r="O80" s="29">
        <v>12</v>
      </c>
    </row>
    <row r="81" spans="3:15" s="195" customFormat="1" ht="14">
      <c r="D81" s="195">
        <f>(D79)/(1+$C$13)^D80</f>
        <v>-571911.94605940685</v>
      </c>
      <c r="E81" s="195">
        <f t="shared" ref="E81:O81" si="39">(E79)/(1+$C$13)^E80</f>
        <v>-387070.61510406225</v>
      </c>
      <c r="F81" s="195">
        <f t="shared" si="39"/>
        <v>-235272.82507469112</v>
      </c>
      <c r="G81" s="195">
        <f t="shared" si="39"/>
        <v>-111559.72023536825</v>
      </c>
      <c r="H81" s="195">
        <f t="shared" si="39"/>
        <v>-11655.730430910195</v>
      </c>
      <c r="I81" s="195">
        <f t="shared" si="39"/>
        <v>68120.921612029182</v>
      </c>
      <c r="J81" s="195">
        <f t="shared" si="39"/>
        <v>130936.37981653024</v>
      </c>
      <c r="K81" s="195">
        <f t="shared" si="39"/>
        <v>179509.38231584706</v>
      </c>
      <c r="L81" s="195">
        <f t="shared" si="39"/>
        <v>216170.78808272257</v>
      </c>
      <c r="M81" s="195">
        <f t="shared" si="39"/>
        <v>242915.48388827444</v>
      </c>
      <c r="N81" s="195">
        <f t="shared" si="39"/>
        <v>261447.62103556452</v>
      </c>
      <c r="O81" s="195">
        <f t="shared" si="39"/>
        <v>273220.01533114637</v>
      </c>
    </row>
    <row r="82" spans="3:15" s="29" customFormat="1" thickBot="1"/>
    <row r="83" spans="3:15" ht="16" thickBot="1">
      <c r="C83" s="216" t="s">
        <v>130</v>
      </c>
      <c r="D83" s="239">
        <f>SUM(D81:O81)-C64</f>
        <v>54849.755177675746</v>
      </c>
    </row>
    <row r="90" spans="3:15">
      <c r="E90">
        <v>1</v>
      </c>
      <c r="F90">
        <v>2</v>
      </c>
      <c r="G90">
        <v>3</v>
      </c>
      <c r="H90">
        <v>4</v>
      </c>
      <c r="I90">
        <v>5</v>
      </c>
      <c r="J90">
        <v>6</v>
      </c>
      <c r="K90">
        <v>7</v>
      </c>
      <c r="L90">
        <v>8</v>
      </c>
      <c r="M90">
        <v>9</v>
      </c>
      <c r="N90">
        <v>10</v>
      </c>
      <c r="O90">
        <v>11</v>
      </c>
    </row>
  </sheetData>
  <pageMargins left="0.75" right="0.75" top="1" bottom="1" header="0.5" footer="0.5"/>
  <pageSetup orientation="portrait" horizontalDpi="4294967292" verticalDpi="4294967292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tabColor theme="9" tint="-0.249977111117893"/>
  </sheetPr>
  <dimension ref="A1:O90"/>
  <sheetViews>
    <sheetView showGridLines="0" workbookViewId="0">
      <selection activeCell="F10" sqref="F10:H10"/>
    </sheetView>
  </sheetViews>
  <sheetFormatPr baseColWidth="10" defaultRowHeight="15" x14ac:dyDescent="0"/>
  <cols>
    <col min="1" max="1" width="32.33203125" customWidth="1"/>
    <col min="2" max="2" width="9" customWidth="1"/>
    <col min="3" max="3" width="12.83203125" bestFit="1" customWidth="1"/>
    <col min="4" max="4" width="13.83203125" bestFit="1" customWidth="1"/>
    <col min="5" max="5" width="27" bestFit="1" customWidth="1"/>
    <col min="6" max="8" width="12.5" customWidth="1"/>
    <col min="9" max="12" width="12" bestFit="1" customWidth="1"/>
    <col min="13" max="13" width="12.83203125" customWidth="1"/>
    <col min="14" max="15" width="12.5" customWidth="1"/>
  </cols>
  <sheetData>
    <row r="1" spans="1:10" ht="21" thickBot="1">
      <c r="A1" s="27" t="s">
        <v>21</v>
      </c>
      <c r="E1" t="s">
        <v>17</v>
      </c>
      <c r="F1">
        <v>550</v>
      </c>
    </row>
    <row r="2" spans="1:10" s="29" customFormat="1" thickBot="1">
      <c r="A2" s="29" t="s">
        <v>33</v>
      </c>
      <c r="C2" s="215">
        <v>100</v>
      </c>
    </row>
    <row r="3" spans="1:10" s="29" customFormat="1" ht="14">
      <c r="A3" s="225" t="s">
        <v>203</v>
      </c>
      <c r="B3" s="222" t="s">
        <v>17</v>
      </c>
      <c r="C3" s="229">
        <f>190000*1.2-190000</f>
        <v>38000</v>
      </c>
      <c r="D3" s="4"/>
      <c r="E3" s="4"/>
      <c r="F3" s="4"/>
      <c r="G3" s="4"/>
      <c r="H3" s="4"/>
      <c r="I3" s="4"/>
    </row>
    <row r="4" spans="1:10" s="29" customFormat="1" ht="14">
      <c r="A4" s="226" t="s">
        <v>162</v>
      </c>
      <c r="B4" s="223" t="s">
        <v>20</v>
      </c>
      <c r="C4" s="230">
        <v>0.06</v>
      </c>
      <c r="D4" s="4"/>
      <c r="E4" s="4"/>
      <c r="F4" s="4"/>
      <c r="G4" s="4"/>
      <c r="H4" s="4"/>
      <c r="I4" s="4"/>
    </row>
    <row r="5" spans="1:10" s="29" customFormat="1" ht="14">
      <c r="A5" s="226" t="s">
        <v>163</v>
      </c>
      <c r="B5" s="223"/>
      <c r="C5" s="231"/>
      <c r="D5" s="4"/>
      <c r="E5" s="4"/>
      <c r="F5" s="4"/>
      <c r="G5" s="4"/>
      <c r="H5" s="4"/>
      <c r="I5" s="4"/>
    </row>
    <row r="6" spans="1:10" s="29" customFormat="1" ht="14">
      <c r="A6" s="226" t="s">
        <v>166</v>
      </c>
      <c r="B6" s="223" t="s">
        <v>17</v>
      </c>
      <c r="C6" s="232"/>
      <c r="D6" s="4"/>
      <c r="E6" s="4"/>
      <c r="F6" s="4"/>
      <c r="G6" s="4"/>
      <c r="H6" s="4"/>
      <c r="I6" s="4"/>
    </row>
    <row r="7" spans="1:10" s="29" customFormat="1" ht="14">
      <c r="A7" s="226" t="s">
        <v>178</v>
      </c>
      <c r="B7" s="223" t="s">
        <v>17</v>
      </c>
      <c r="C7" s="233">
        <v>100</v>
      </c>
      <c r="D7" s="4"/>
      <c r="E7" s="241" t="s">
        <v>198</v>
      </c>
      <c r="F7" s="241">
        <v>3939</v>
      </c>
      <c r="G7" s="4"/>
      <c r="H7" s="4"/>
      <c r="I7" s="4"/>
    </row>
    <row r="8" spans="1:10" s="29" customFormat="1" ht="14">
      <c r="A8" s="226" t="s">
        <v>179</v>
      </c>
      <c r="B8" s="223" t="s">
        <v>17</v>
      </c>
      <c r="C8" s="234">
        <v>0</v>
      </c>
      <c r="D8" s="4"/>
      <c r="E8" s="4"/>
      <c r="F8" s="4"/>
      <c r="G8" s="4"/>
      <c r="H8" s="4"/>
      <c r="I8" s="4"/>
    </row>
    <row r="9" spans="1:10" s="29" customFormat="1" ht="14">
      <c r="A9" s="226" t="s">
        <v>180</v>
      </c>
      <c r="B9" s="223" t="s">
        <v>17</v>
      </c>
      <c r="C9" s="234">
        <v>0</v>
      </c>
      <c r="D9" s="4"/>
      <c r="E9" s="241"/>
      <c r="F9" s="242" t="s">
        <v>190</v>
      </c>
      <c r="G9" s="243" t="s">
        <v>191</v>
      </c>
      <c r="H9" s="243" t="s">
        <v>192</v>
      </c>
      <c r="I9" s="4"/>
    </row>
    <row r="10" spans="1:10" s="29" customFormat="1" ht="14">
      <c r="A10" s="226" t="s">
        <v>181</v>
      </c>
      <c r="B10" s="223" t="s">
        <v>17</v>
      </c>
      <c r="C10" s="235"/>
      <c r="D10" s="4"/>
      <c r="E10" s="241"/>
      <c r="F10" s="244">
        <v>0.12</v>
      </c>
      <c r="G10" s="244">
        <v>0.04</v>
      </c>
      <c r="H10" s="244">
        <v>0.03</v>
      </c>
      <c r="I10" s="4"/>
    </row>
    <row r="11" spans="1:10" s="29" customFormat="1" ht="14">
      <c r="A11" s="227" t="s">
        <v>160</v>
      </c>
      <c r="B11" s="223"/>
      <c r="C11" s="236">
        <v>300</v>
      </c>
      <c r="D11" s="4"/>
      <c r="E11" s="241" t="s">
        <v>199</v>
      </c>
      <c r="F11" s="243">
        <f>+$F$7*(F10)</f>
        <v>472.68</v>
      </c>
      <c r="G11" s="243">
        <f>+$F$7*(G10)</f>
        <v>157.56</v>
      </c>
      <c r="H11" s="243">
        <f>+$F$7*(H10)</f>
        <v>118.17</v>
      </c>
      <c r="I11" s="4"/>
    </row>
    <row r="12" spans="1:10" s="29" customFormat="1" ht="14">
      <c r="A12" s="227" t="s">
        <v>161</v>
      </c>
      <c r="B12" s="223" t="s">
        <v>17</v>
      </c>
      <c r="C12" s="237"/>
      <c r="D12" s="4"/>
      <c r="E12" s="4"/>
      <c r="F12" s="4"/>
      <c r="G12" s="4"/>
      <c r="H12" s="4"/>
      <c r="I12" s="4"/>
    </row>
    <row r="13" spans="1:10" s="29" customFormat="1" ht="14">
      <c r="A13" s="228" t="s">
        <v>128</v>
      </c>
      <c r="B13" s="224" t="s">
        <v>20</v>
      </c>
      <c r="C13" s="238">
        <v>0.12</v>
      </c>
      <c r="D13" s="4"/>
      <c r="E13" s="4"/>
      <c r="F13" s="4"/>
      <c r="G13" s="4"/>
      <c r="H13" s="4"/>
      <c r="I13" s="4"/>
    </row>
    <row r="14" spans="1:10" s="29" customFormat="1" ht="14">
      <c r="B14" s="183"/>
      <c r="D14" s="4"/>
      <c r="E14" s="4"/>
      <c r="F14" s="4"/>
      <c r="G14" s="4"/>
      <c r="H14" s="4"/>
      <c r="I14" s="4"/>
    </row>
    <row r="15" spans="1:10" s="29" customFormat="1" ht="14"/>
    <row r="16" spans="1:10" s="29" customFormat="1" ht="18">
      <c r="A16" s="189" t="s">
        <v>151</v>
      </c>
      <c r="J16" s="195"/>
    </row>
    <row r="17" spans="1:8" s="4" customFormat="1" ht="14">
      <c r="A17" s="11" t="s">
        <v>21</v>
      </c>
      <c r="B17" s="6" t="s">
        <v>16</v>
      </c>
      <c r="C17" s="6" t="s">
        <v>45</v>
      </c>
      <c r="D17" s="6" t="s">
        <v>46</v>
      </c>
      <c r="E17" s="6" t="s">
        <v>47</v>
      </c>
      <c r="F17" s="6" t="s">
        <v>48</v>
      </c>
      <c r="G17" s="6" t="s">
        <v>49</v>
      </c>
      <c r="H17" s="6" t="s">
        <v>50</v>
      </c>
    </row>
    <row r="18" spans="1:8" s="4" customFormat="1" ht="14">
      <c r="A18" s="4" t="s">
        <v>61</v>
      </c>
      <c r="B18" s="6" t="s">
        <v>17</v>
      </c>
      <c r="C18" s="6"/>
      <c r="D18" s="6"/>
      <c r="E18" s="6"/>
      <c r="F18" s="6"/>
      <c r="G18" s="6"/>
      <c r="H18" s="6"/>
    </row>
    <row r="19" spans="1:8" s="4" customFormat="1" ht="14">
      <c r="A19" s="4" t="s">
        <v>59</v>
      </c>
      <c r="B19" s="6" t="s">
        <v>17</v>
      </c>
      <c r="C19" s="6"/>
      <c r="D19" s="6"/>
      <c r="E19" s="6"/>
      <c r="F19" s="6"/>
      <c r="G19" s="6"/>
      <c r="H19" s="6"/>
    </row>
    <row r="20" spans="1:8" s="4" customFormat="1" ht="14">
      <c r="A20" s="4" t="s">
        <v>60</v>
      </c>
      <c r="B20" s="6" t="s">
        <v>17</v>
      </c>
      <c r="C20" s="6"/>
      <c r="D20" s="6"/>
      <c r="E20" s="6"/>
      <c r="F20" s="6"/>
      <c r="G20" s="6"/>
      <c r="H20" s="6"/>
    </row>
    <row r="21" spans="1:8" s="4" customFormat="1" ht="14">
      <c r="A21" s="217" t="s">
        <v>145</v>
      </c>
      <c r="B21" s="218" t="s">
        <v>17</v>
      </c>
      <c r="C21" s="6"/>
      <c r="D21" s="6">
        <f>-$C$3*$C$4*$C$2</f>
        <v>-228000</v>
      </c>
      <c r="E21" s="6">
        <f>-($C$3-$C$3/5*E90)*$C$4*$C$2</f>
        <v>-182400</v>
      </c>
      <c r="F21" s="6">
        <f t="shared" ref="F21:H21" si="0">-($C$3-$C$3/5*F90)*$C$4*$C$2</f>
        <v>-136800</v>
      </c>
      <c r="G21" s="6">
        <f t="shared" si="0"/>
        <v>-91200</v>
      </c>
      <c r="H21" s="6">
        <f t="shared" si="0"/>
        <v>-45600</v>
      </c>
    </row>
    <row r="22" spans="1:8" s="5" customFormat="1" ht="14">
      <c r="A22" s="217" t="s">
        <v>120</v>
      </c>
      <c r="B22" s="218" t="s">
        <v>17</v>
      </c>
      <c r="C22" s="7"/>
      <c r="D22" s="6">
        <v>0</v>
      </c>
      <c r="E22" s="6">
        <v>0</v>
      </c>
      <c r="F22" s="6">
        <v>0</v>
      </c>
      <c r="G22" s="6">
        <v>0</v>
      </c>
      <c r="H22" s="6">
        <v>0</v>
      </c>
    </row>
    <row r="23" spans="1:8" s="5" customFormat="1" ht="14">
      <c r="A23" s="217" t="s">
        <v>121</v>
      </c>
      <c r="B23" s="218" t="s">
        <v>17</v>
      </c>
      <c r="C23" s="7"/>
      <c r="D23" s="6">
        <v>0</v>
      </c>
      <c r="E23" s="6">
        <v>0</v>
      </c>
      <c r="F23" s="6">
        <v>0</v>
      </c>
      <c r="G23" s="6">
        <v>0</v>
      </c>
      <c r="H23" s="6">
        <v>0</v>
      </c>
    </row>
    <row r="24" spans="1:8" s="5" customFormat="1" ht="14">
      <c r="A24" s="217" t="s">
        <v>122</v>
      </c>
      <c r="B24" s="218" t="s">
        <v>17</v>
      </c>
      <c r="C24" s="7"/>
      <c r="D24" s="6">
        <f>'Costos Unitarios'!$C$26*$C$2*12</f>
        <v>225449.21875000003</v>
      </c>
      <c r="E24" s="6">
        <f>'Costos Unitarios'!$C$26*$C$2*12</f>
        <v>225449.21875000003</v>
      </c>
      <c r="F24" s="6">
        <f>'Costos Unitarios'!$C$26*$C$2*12</f>
        <v>225449.21875000003</v>
      </c>
      <c r="G24" s="6">
        <f>'Costos Unitarios'!$C$26*$C$2*12</f>
        <v>225449.21875000003</v>
      </c>
      <c r="H24" s="6">
        <f>'Costos Unitarios'!$C$26*$C$2*12</f>
        <v>225449.21875000003</v>
      </c>
    </row>
    <row r="25" spans="1:8" s="5" customFormat="1" ht="14">
      <c r="A25" s="217" t="s">
        <v>123</v>
      </c>
      <c r="B25" s="218" t="s">
        <v>17</v>
      </c>
      <c r="C25" s="7"/>
      <c r="D25" s="6">
        <v>0</v>
      </c>
      <c r="E25" s="6">
        <v>0</v>
      </c>
      <c r="F25" s="6">
        <v>0</v>
      </c>
      <c r="G25" s="6">
        <v>0</v>
      </c>
      <c r="H25" s="6">
        <v>0</v>
      </c>
    </row>
    <row r="26" spans="1:8" s="18" customFormat="1" ht="14">
      <c r="A26" s="217" t="s">
        <v>124</v>
      </c>
      <c r="B26" s="219" t="s">
        <v>17</v>
      </c>
      <c r="C26" s="7"/>
      <c r="D26" s="197">
        <f>-$C$3/5*$C$2</f>
        <v>-760000</v>
      </c>
      <c r="E26" s="197">
        <f t="shared" ref="E26:H26" si="1">-$C$3/5*$C$2</f>
        <v>-760000</v>
      </c>
      <c r="F26" s="197">
        <f t="shared" si="1"/>
        <v>-760000</v>
      </c>
      <c r="G26" s="197">
        <f t="shared" si="1"/>
        <v>-760000</v>
      </c>
      <c r="H26" s="197">
        <f t="shared" si="1"/>
        <v>-760000</v>
      </c>
    </row>
    <row r="27" spans="1:8" s="29" customFormat="1" ht="14">
      <c r="A27" s="217" t="s">
        <v>183</v>
      </c>
      <c r="B27" s="218" t="s">
        <v>17</v>
      </c>
      <c r="D27" s="6">
        <f>-$C$8*12</f>
        <v>0</v>
      </c>
      <c r="E27" s="6">
        <f t="shared" ref="E27:H27" si="2">-$C$8*12</f>
        <v>0</v>
      </c>
      <c r="F27" s="6">
        <f t="shared" si="2"/>
        <v>0</v>
      </c>
      <c r="G27" s="6">
        <f t="shared" si="2"/>
        <v>0</v>
      </c>
      <c r="H27" s="6">
        <f t="shared" si="2"/>
        <v>0</v>
      </c>
    </row>
    <row r="28" spans="1:8" s="29" customFormat="1" ht="14">
      <c r="A28" s="217" t="s">
        <v>150</v>
      </c>
      <c r="B28" s="218" t="s">
        <v>17</v>
      </c>
      <c r="D28" s="6">
        <f>+$C$7*12*$C$2</f>
        <v>120000</v>
      </c>
      <c r="E28" s="6">
        <f t="shared" ref="E28:H28" si="3">+$C$7*12*$C$2</f>
        <v>120000</v>
      </c>
      <c r="F28" s="6">
        <f t="shared" si="3"/>
        <v>120000</v>
      </c>
      <c r="G28" s="6">
        <f t="shared" si="3"/>
        <v>120000</v>
      </c>
      <c r="H28" s="6">
        <f t="shared" si="3"/>
        <v>120000</v>
      </c>
    </row>
    <row r="29" spans="1:8" s="29" customFormat="1" ht="14">
      <c r="A29" s="217" t="s">
        <v>164</v>
      </c>
      <c r="B29" s="218" t="s">
        <v>17</v>
      </c>
      <c r="D29" s="6">
        <f>$C$6*$C$5*$C$2*12</f>
        <v>0</v>
      </c>
      <c r="E29" s="6">
        <f>$C$6*$C$5*$C$2*12</f>
        <v>0</v>
      </c>
      <c r="F29" s="6">
        <f>$C$6*$C$5*$C$2*12</f>
        <v>0</v>
      </c>
      <c r="G29" s="6">
        <f>$C$6*$C$5*$C$2*12</f>
        <v>0</v>
      </c>
      <c r="H29" s="6">
        <f>$C$6*$C$5*$C$2*12</f>
        <v>0</v>
      </c>
    </row>
    <row r="30" spans="1:8" s="29" customFormat="1" ht="14">
      <c r="A30" s="217" t="s">
        <v>182</v>
      </c>
      <c r="B30" s="218"/>
      <c r="D30" s="6">
        <f>$C$9*12</f>
        <v>0</v>
      </c>
      <c r="E30" s="6">
        <f t="shared" ref="E30:H30" si="4">$C$9*12</f>
        <v>0</v>
      </c>
      <c r="F30" s="6">
        <f t="shared" si="4"/>
        <v>0</v>
      </c>
      <c r="G30" s="6">
        <f t="shared" si="4"/>
        <v>0</v>
      </c>
      <c r="H30" s="6">
        <f t="shared" si="4"/>
        <v>0</v>
      </c>
    </row>
    <row r="31" spans="1:8" s="187" customFormat="1" ht="14">
      <c r="A31" s="185" t="s">
        <v>127</v>
      </c>
      <c r="B31" s="191" t="s">
        <v>17</v>
      </c>
      <c r="D31" s="188">
        <f>SUM(D18:D29)</f>
        <v>-642550.78125</v>
      </c>
      <c r="E31" s="188">
        <f t="shared" ref="E31:H31" si="5">SUM(E18:E29)</f>
        <v>-596950.78125</v>
      </c>
      <c r="F31" s="188">
        <f t="shared" si="5"/>
        <v>-551350.78125</v>
      </c>
      <c r="G31" s="188">
        <f t="shared" si="5"/>
        <v>-505750.78125</v>
      </c>
      <c r="H31" s="188">
        <f t="shared" si="5"/>
        <v>-460150.78125</v>
      </c>
    </row>
    <row r="32" spans="1:8" s="4" customFormat="1" thickBot="1">
      <c r="A32" s="4" t="s">
        <v>125</v>
      </c>
      <c r="B32" s="6" t="s">
        <v>17</v>
      </c>
      <c r="D32" s="4">
        <f>$F$11*$C$2*12</f>
        <v>567216</v>
      </c>
      <c r="E32" s="4">
        <f t="shared" ref="E32:H32" si="6">$F$11*$C$2*12</f>
        <v>567216</v>
      </c>
      <c r="F32" s="4">
        <f t="shared" si="6"/>
        <v>567216</v>
      </c>
      <c r="G32" s="4">
        <f t="shared" si="6"/>
        <v>567216</v>
      </c>
      <c r="H32" s="4">
        <f t="shared" si="6"/>
        <v>567216</v>
      </c>
    </row>
    <row r="33" spans="1:14" s="170" customFormat="1" thickBot="1">
      <c r="A33" s="170" t="s">
        <v>126</v>
      </c>
      <c r="B33" s="192" t="s">
        <v>17</v>
      </c>
      <c r="D33" s="171">
        <f>D32+D31</f>
        <v>-75334.78125</v>
      </c>
      <c r="E33" s="171">
        <f t="shared" ref="E33:H33" si="7">E32+E31</f>
        <v>-29734.78125</v>
      </c>
      <c r="F33" s="171">
        <f t="shared" si="7"/>
        <v>15865.21875</v>
      </c>
      <c r="G33" s="171">
        <f t="shared" si="7"/>
        <v>61465.21875</v>
      </c>
      <c r="H33" s="171">
        <f t="shared" si="7"/>
        <v>107065.21875</v>
      </c>
    </row>
    <row r="34" spans="1:14" s="29" customFormat="1" ht="14">
      <c r="C34" s="29">
        <v>0</v>
      </c>
      <c r="D34" s="29">
        <v>1</v>
      </c>
      <c r="E34" s="29">
        <v>2</v>
      </c>
      <c r="F34" s="29">
        <v>3</v>
      </c>
      <c r="G34" s="29">
        <v>4</v>
      </c>
      <c r="H34" s="29">
        <v>5</v>
      </c>
    </row>
    <row r="35" spans="1:14" s="195" customFormat="1" ht="14">
      <c r="D35" s="195">
        <f>(D33)/(1+$C$13)^D34</f>
        <v>-67263.197544642855</v>
      </c>
      <c r="E35" s="195">
        <f>(E33)/(1+$C$13)^E34</f>
        <v>-23704.385562818876</v>
      </c>
      <c r="F35" s="195">
        <f>(F33)/(1+$C$13)^F34</f>
        <v>11292.549333488972</v>
      </c>
      <c r="G35" s="195">
        <f>(G33)/(1+$C$13)^G34</f>
        <v>39062.257708732599</v>
      </c>
      <c r="H35" s="195">
        <f>(H33)/(1+$C$13)^H34</f>
        <v>60751.680432136513</v>
      </c>
    </row>
    <row r="36" spans="1:14" s="29" customFormat="1" thickBot="1"/>
    <row r="37" spans="1:14" ht="16" thickBot="1">
      <c r="C37" s="216" t="s">
        <v>132</v>
      </c>
      <c r="D37" s="239">
        <f>SUM(D35:H35)-C18</f>
        <v>20138.904366896357</v>
      </c>
    </row>
    <row r="39" spans="1:14" ht="18">
      <c r="A39" s="189" t="s">
        <v>152</v>
      </c>
    </row>
    <row r="40" spans="1:14" s="4" customFormat="1" ht="14">
      <c r="A40" s="11" t="s">
        <v>21</v>
      </c>
      <c r="B40" s="6" t="s">
        <v>16</v>
      </c>
      <c r="C40" s="6" t="s">
        <v>45</v>
      </c>
      <c r="D40" s="6" t="s">
        <v>46</v>
      </c>
      <c r="E40" s="6" t="s">
        <v>47</v>
      </c>
      <c r="F40" s="6" t="s">
        <v>48</v>
      </c>
      <c r="G40" s="6" t="s">
        <v>49</v>
      </c>
      <c r="H40" s="6" t="s">
        <v>50</v>
      </c>
      <c r="I40" s="6" t="s">
        <v>51</v>
      </c>
      <c r="J40" s="6" t="s">
        <v>52</v>
      </c>
      <c r="K40" s="6" t="s">
        <v>53</v>
      </c>
      <c r="L40" s="6" t="s">
        <v>54</v>
      </c>
      <c r="M40" s="6" t="s">
        <v>55</v>
      </c>
    </row>
    <row r="41" spans="1:14" s="4" customFormat="1" ht="14">
      <c r="A41" s="4" t="s">
        <v>61</v>
      </c>
      <c r="B41" s="6" t="s">
        <v>17</v>
      </c>
      <c r="C41" s="6">
        <v>0</v>
      </c>
      <c r="D41" s="6"/>
      <c r="E41" s="6"/>
      <c r="F41" s="6"/>
      <c r="G41" s="6"/>
      <c r="H41" s="6"/>
    </row>
    <row r="42" spans="1:14" s="4" customFormat="1" ht="14">
      <c r="A42" s="4" t="s">
        <v>59</v>
      </c>
      <c r="B42" s="6" t="s">
        <v>17</v>
      </c>
      <c r="C42" s="6"/>
      <c r="D42" s="6"/>
      <c r="E42" s="6"/>
      <c r="F42" s="6"/>
      <c r="G42" s="6"/>
      <c r="H42" s="6"/>
    </row>
    <row r="43" spans="1:14" s="4" customFormat="1" ht="14">
      <c r="A43" s="4" t="s">
        <v>60</v>
      </c>
      <c r="B43" s="6" t="s">
        <v>17</v>
      </c>
      <c r="C43" s="6"/>
      <c r="D43" s="6"/>
      <c r="E43" s="6"/>
      <c r="F43" s="6"/>
      <c r="G43" s="6"/>
      <c r="H43" s="6"/>
    </row>
    <row r="44" spans="1:14" s="4" customFormat="1" ht="14">
      <c r="A44" s="217" t="s">
        <v>145</v>
      </c>
      <c r="B44" s="218" t="s">
        <v>17</v>
      </c>
      <c r="C44" s="6"/>
      <c r="D44" s="6">
        <f>-$C$3*$C$4*$C$2</f>
        <v>-228000</v>
      </c>
      <c r="E44" s="6">
        <f>-($C$3-$C$3/10*E90)*$C$4*$C$2</f>
        <v>-205200</v>
      </c>
      <c r="F44" s="6">
        <f t="shared" ref="F44:M44" si="8">-($C$3-$C$3/10*F90)*$C$4*$C$2</f>
        <v>-182400</v>
      </c>
      <c r="G44" s="6">
        <f t="shared" si="8"/>
        <v>-159600</v>
      </c>
      <c r="H44" s="6">
        <f t="shared" si="8"/>
        <v>-136800</v>
      </c>
      <c r="I44" s="6">
        <f t="shared" si="8"/>
        <v>-114000</v>
      </c>
      <c r="J44" s="6">
        <f t="shared" si="8"/>
        <v>-91200</v>
      </c>
      <c r="K44" s="6">
        <f t="shared" si="8"/>
        <v>-68400</v>
      </c>
      <c r="L44" s="6">
        <f t="shared" si="8"/>
        <v>-45600</v>
      </c>
      <c r="M44" s="6">
        <f t="shared" si="8"/>
        <v>-22800</v>
      </c>
      <c r="N44" s="4">
        <f>SUM(D44:M44)</f>
        <v>-1254000</v>
      </c>
    </row>
    <row r="45" spans="1:14" s="5" customFormat="1" ht="14">
      <c r="A45" s="217" t="s">
        <v>120</v>
      </c>
      <c r="B45" s="218" t="s">
        <v>17</v>
      </c>
      <c r="C45" s="7"/>
      <c r="D45" s="6">
        <v>0</v>
      </c>
      <c r="E45" s="6">
        <v>0</v>
      </c>
      <c r="F45" s="6">
        <v>0</v>
      </c>
      <c r="G45" s="6">
        <v>0</v>
      </c>
      <c r="H45" s="6">
        <v>0</v>
      </c>
      <c r="I45" s="6">
        <v>0</v>
      </c>
      <c r="J45" s="6">
        <v>0</v>
      </c>
      <c r="K45" s="6">
        <v>0</v>
      </c>
      <c r="L45" s="6">
        <v>0</v>
      </c>
      <c r="M45" s="6">
        <v>0</v>
      </c>
      <c r="N45" s="4">
        <f t="shared" ref="N45:N53" si="9">SUM(D45:M45)</f>
        <v>0</v>
      </c>
    </row>
    <row r="46" spans="1:14" s="5" customFormat="1" ht="14">
      <c r="A46" s="217" t="s">
        <v>121</v>
      </c>
      <c r="B46" s="218" t="s">
        <v>17</v>
      </c>
      <c r="C46" s="7"/>
      <c r="D46" s="6">
        <v>0</v>
      </c>
      <c r="E46" s="6">
        <v>0</v>
      </c>
      <c r="F46" s="6">
        <v>0</v>
      </c>
      <c r="G46" s="6">
        <v>0</v>
      </c>
      <c r="H46" s="6">
        <v>0</v>
      </c>
      <c r="I46" s="6">
        <v>0</v>
      </c>
      <c r="J46" s="6">
        <v>0</v>
      </c>
      <c r="K46" s="6">
        <v>0</v>
      </c>
      <c r="L46" s="6">
        <v>0</v>
      </c>
      <c r="M46" s="6">
        <v>0</v>
      </c>
      <c r="N46" s="4">
        <f t="shared" si="9"/>
        <v>0</v>
      </c>
    </row>
    <row r="47" spans="1:14" s="5" customFormat="1" ht="14">
      <c r="A47" s="217" t="s">
        <v>122</v>
      </c>
      <c r="B47" s="218" t="s">
        <v>17</v>
      </c>
      <c r="C47" s="7"/>
      <c r="D47" s="6">
        <f>'Costos Unitarios'!$C$26*$C$2*12</f>
        <v>225449.21875000003</v>
      </c>
      <c r="E47" s="6">
        <f>'Costos Unitarios'!$C$26*$C$2*12</f>
        <v>225449.21875000003</v>
      </c>
      <c r="F47" s="6">
        <f>'Costos Unitarios'!$C$26*$C$2*12</f>
        <v>225449.21875000003</v>
      </c>
      <c r="G47" s="6">
        <f>'Costos Unitarios'!$C$26*$C$2*12</f>
        <v>225449.21875000003</v>
      </c>
      <c r="H47" s="6">
        <f>'Costos Unitarios'!$C$26*$C$2*12</f>
        <v>225449.21875000003</v>
      </c>
      <c r="I47" s="6">
        <f>'Costos Unitarios'!$C$26*$C$2*12</f>
        <v>225449.21875000003</v>
      </c>
      <c r="J47" s="6">
        <f>'Costos Unitarios'!$C$26*$C$2*12</f>
        <v>225449.21875000003</v>
      </c>
      <c r="K47" s="6">
        <f>'Costos Unitarios'!$C$26*$C$2*12</f>
        <v>225449.21875000003</v>
      </c>
      <c r="L47" s="6">
        <f>'Costos Unitarios'!$C$26*$C$2*12</f>
        <v>225449.21875000003</v>
      </c>
      <c r="M47" s="6">
        <f>'Costos Unitarios'!$C$26*$C$2*12</f>
        <v>225449.21875000003</v>
      </c>
      <c r="N47" s="4">
        <f t="shared" si="9"/>
        <v>2254492.1875000005</v>
      </c>
    </row>
    <row r="48" spans="1:14" s="5" customFormat="1" ht="14">
      <c r="A48" s="217" t="s">
        <v>123</v>
      </c>
      <c r="B48" s="218" t="s">
        <v>17</v>
      </c>
      <c r="C48" s="7"/>
      <c r="D48" s="6">
        <v>0</v>
      </c>
      <c r="E48" s="6">
        <v>0</v>
      </c>
      <c r="F48" s="6">
        <v>0</v>
      </c>
      <c r="G48" s="6">
        <v>0</v>
      </c>
      <c r="H48" s="6">
        <v>0</v>
      </c>
      <c r="I48" s="6">
        <v>0</v>
      </c>
      <c r="J48" s="6">
        <v>0</v>
      </c>
      <c r="K48" s="6">
        <v>0</v>
      </c>
      <c r="L48" s="6">
        <v>0</v>
      </c>
      <c r="M48" s="6">
        <v>0</v>
      </c>
      <c r="N48" s="4">
        <f t="shared" si="9"/>
        <v>0</v>
      </c>
    </row>
    <row r="49" spans="1:15" s="18" customFormat="1" ht="14">
      <c r="A49" s="217" t="s">
        <v>189</v>
      </c>
      <c r="B49" s="219" t="s">
        <v>17</v>
      </c>
      <c r="C49" s="7"/>
      <c r="D49" s="197">
        <f>-$C$3/10*$C$2</f>
        <v>-380000</v>
      </c>
      <c r="E49" s="197">
        <f t="shared" ref="E49:M49" si="10">-$C$3/10*$C$2</f>
        <v>-380000</v>
      </c>
      <c r="F49" s="197">
        <f t="shared" si="10"/>
        <v>-380000</v>
      </c>
      <c r="G49" s="197">
        <f t="shared" si="10"/>
        <v>-380000</v>
      </c>
      <c r="H49" s="197">
        <f t="shared" si="10"/>
        <v>-380000</v>
      </c>
      <c r="I49" s="197">
        <f t="shared" si="10"/>
        <v>-380000</v>
      </c>
      <c r="J49" s="197">
        <f t="shared" si="10"/>
        <v>-380000</v>
      </c>
      <c r="K49" s="197">
        <f t="shared" si="10"/>
        <v>-380000</v>
      </c>
      <c r="L49" s="197">
        <f t="shared" si="10"/>
        <v>-380000</v>
      </c>
      <c r="M49" s="197">
        <f t="shared" si="10"/>
        <v>-380000</v>
      </c>
      <c r="N49" s="4">
        <f t="shared" si="9"/>
        <v>-3800000</v>
      </c>
    </row>
    <row r="50" spans="1:15" s="29" customFormat="1" ht="14">
      <c r="A50" s="217" t="s">
        <v>183</v>
      </c>
      <c r="B50" s="218" t="s">
        <v>17</v>
      </c>
      <c r="D50" s="6">
        <f>-$C$8*12</f>
        <v>0</v>
      </c>
      <c r="E50" s="6">
        <f t="shared" ref="E50:H50" si="11">-$C$8*12</f>
        <v>0</v>
      </c>
      <c r="F50" s="6">
        <f t="shared" si="11"/>
        <v>0</v>
      </c>
      <c r="G50" s="6">
        <f t="shared" si="11"/>
        <v>0</v>
      </c>
      <c r="H50" s="6">
        <f t="shared" si="11"/>
        <v>0</v>
      </c>
      <c r="I50" s="6">
        <f>-$C$8*12</f>
        <v>0</v>
      </c>
      <c r="J50" s="6">
        <f t="shared" ref="J50:M50" si="12">-$C$8*12</f>
        <v>0</v>
      </c>
      <c r="K50" s="6">
        <f t="shared" si="12"/>
        <v>0</v>
      </c>
      <c r="L50" s="6">
        <f t="shared" si="12"/>
        <v>0</v>
      </c>
      <c r="M50" s="6">
        <f t="shared" si="12"/>
        <v>0</v>
      </c>
      <c r="N50" s="4">
        <f t="shared" si="9"/>
        <v>0</v>
      </c>
    </row>
    <row r="51" spans="1:15" s="29" customFormat="1" ht="14">
      <c r="A51" s="217" t="s">
        <v>150</v>
      </c>
      <c r="B51" s="218" t="s">
        <v>17</v>
      </c>
      <c r="D51" s="6">
        <f>+$C$7*12*$C$2</f>
        <v>120000</v>
      </c>
      <c r="E51" s="6">
        <f t="shared" ref="E51:H51" si="13">+$C$7*12*$C$2</f>
        <v>120000</v>
      </c>
      <c r="F51" s="6">
        <f t="shared" si="13"/>
        <v>120000</v>
      </c>
      <c r="G51" s="6">
        <f t="shared" si="13"/>
        <v>120000</v>
      </c>
      <c r="H51" s="6">
        <f t="shared" si="13"/>
        <v>120000</v>
      </c>
      <c r="I51" s="6">
        <f>+$C$7*12*$C$2</f>
        <v>120000</v>
      </c>
      <c r="J51" s="6">
        <f t="shared" ref="J51:M51" si="14">+$C$7*12*$C$2</f>
        <v>120000</v>
      </c>
      <c r="K51" s="6">
        <f t="shared" si="14"/>
        <v>120000</v>
      </c>
      <c r="L51" s="6">
        <f t="shared" si="14"/>
        <v>120000</v>
      </c>
      <c r="M51" s="6">
        <f t="shared" si="14"/>
        <v>120000</v>
      </c>
      <c r="N51" s="4">
        <f t="shared" si="9"/>
        <v>1200000</v>
      </c>
    </row>
    <row r="52" spans="1:15" s="29" customFormat="1" ht="14">
      <c r="A52" s="217" t="s">
        <v>164</v>
      </c>
      <c r="B52" s="218" t="s">
        <v>17</v>
      </c>
      <c r="D52" s="6">
        <f t="shared" ref="D52:I52" si="15">$C$6*$C$5*$C$2*12</f>
        <v>0</v>
      </c>
      <c r="E52" s="6">
        <f t="shared" si="15"/>
        <v>0</v>
      </c>
      <c r="F52" s="6">
        <f t="shared" si="15"/>
        <v>0</v>
      </c>
      <c r="G52" s="6">
        <f t="shared" si="15"/>
        <v>0</v>
      </c>
      <c r="H52" s="6">
        <f t="shared" si="15"/>
        <v>0</v>
      </c>
      <c r="I52" s="6">
        <f t="shared" si="15"/>
        <v>0</v>
      </c>
      <c r="J52" s="6">
        <f t="shared" ref="J52:M52" si="16">$C$6*$C$5*$C$2*12</f>
        <v>0</v>
      </c>
      <c r="K52" s="6">
        <f t="shared" si="16"/>
        <v>0</v>
      </c>
      <c r="L52" s="6">
        <f t="shared" si="16"/>
        <v>0</v>
      </c>
      <c r="M52" s="6">
        <f t="shared" si="16"/>
        <v>0</v>
      </c>
      <c r="N52" s="4">
        <f t="shared" si="9"/>
        <v>0</v>
      </c>
    </row>
    <row r="53" spans="1:15" s="29" customFormat="1" ht="14">
      <c r="A53" s="217" t="s">
        <v>182</v>
      </c>
      <c r="B53" s="218"/>
      <c r="D53" s="6">
        <f>$C$9*12</f>
        <v>0</v>
      </c>
      <c r="E53" s="6">
        <f t="shared" ref="E53:H53" si="17">$C$9*12</f>
        <v>0</v>
      </c>
      <c r="F53" s="6">
        <f t="shared" si="17"/>
        <v>0</v>
      </c>
      <c r="G53" s="6">
        <f t="shared" si="17"/>
        <v>0</v>
      </c>
      <c r="H53" s="6">
        <f t="shared" si="17"/>
        <v>0</v>
      </c>
      <c r="I53" s="6">
        <f>$C$9*12</f>
        <v>0</v>
      </c>
      <c r="J53" s="6">
        <f t="shared" ref="J53:M53" si="18">$C$9*12</f>
        <v>0</v>
      </c>
      <c r="K53" s="6">
        <f t="shared" si="18"/>
        <v>0</v>
      </c>
      <c r="L53" s="6">
        <f t="shared" si="18"/>
        <v>0</v>
      </c>
      <c r="M53" s="6">
        <f t="shared" si="18"/>
        <v>0</v>
      </c>
      <c r="N53" s="4">
        <f t="shared" si="9"/>
        <v>0</v>
      </c>
    </row>
    <row r="54" spans="1:15" s="187" customFormat="1" ht="14">
      <c r="A54" s="185" t="s">
        <v>127</v>
      </c>
      <c r="B54" s="191" t="s">
        <v>17</v>
      </c>
      <c r="D54" s="188">
        <f>SUM(D41:D53)</f>
        <v>-262550.78125</v>
      </c>
      <c r="E54" s="188">
        <f t="shared" ref="E54:M54" si="19">SUM(E41:E53)</f>
        <v>-239750.78125</v>
      </c>
      <c r="F54" s="188">
        <f t="shared" si="19"/>
        <v>-216950.78125</v>
      </c>
      <c r="G54" s="188">
        <f t="shared" si="19"/>
        <v>-194150.78125</v>
      </c>
      <c r="H54" s="188">
        <f t="shared" si="19"/>
        <v>-171350.78125</v>
      </c>
      <c r="I54" s="188">
        <f t="shared" si="19"/>
        <v>-148550.78125</v>
      </c>
      <c r="J54" s="188">
        <f t="shared" si="19"/>
        <v>-125750.78124999997</v>
      </c>
      <c r="K54" s="188">
        <f t="shared" si="19"/>
        <v>-102950.78124999997</v>
      </c>
      <c r="L54" s="188">
        <f t="shared" si="19"/>
        <v>-80150.781249999971</v>
      </c>
      <c r="M54" s="188">
        <f t="shared" si="19"/>
        <v>-57350.781249999971</v>
      </c>
    </row>
    <row r="55" spans="1:15" s="4" customFormat="1" thickBot="1">
      <c r="A55" s="4" t="s">
        <v>125</v>
      </c>
      <c r="B55" s="6" t="s">
        <v>17</v>
      </c>
      <c r="D55" s="4">
        <f t="shared" ref="D55:M55" si="20">$G$11*$C$2*12</f>
        <v>189072</v>
      </c>
      <c r="E55" s="4">
        <f t="shared" si="20"/>
        <v>189072</v>
      </c>
      <c r="F55" s="4">
        <f t="shared" si="20"/>
        <v>189072</v>
      </c>
      <c r="G55" s="4">
        <f t="shared" si="20"/>
        <v>189072</v>
      </c>
      <c r="H55" s="4">
        <f t="shared" si="20"/>
        <v>189072</v>
      </c>
      <c r="I55" s="4">
        <f t="shared" si="20"/>
        <v>189072</v>
      </c>
      <c r="J55" s="4">
        <f t="shared" si="20"/>
        <v>189072</v>
      </c>
      <c r="K55" s="4">
        <f t="shared" si="20"/>
        <v>189072</v>
      </c>
      <c r="L55" s="4">
        <f t="shared" si="20"/>
        <v>189072</v>
      </c>
      <c r="M55" s="4">
        <f t="shared" si="20"/>
        <v>189072</v>
      </c>
    </row>
    <row r="56" spans="1:15" s="170" customFormat="1" thickBot="1">
      <c r="A56" s="170" t="s">
        <v>126</v>
      </c>
      <c r="B56" s="192" t="s">
        <v>17</v>
      </c>
      <c r="D56" s="171">
        <f>D55+D54</f>
        <v>-73478.78125</v>
      </c>
      <c r="E56" s="171">
        <f t="shared" ref="E56:H56" si="21">E55+E54</f>
        <v>-50678.78125</v>
      </c>
      <c r="F56" s="171">
        <f t="shared" si="21"/>
        <v>-27878.78125</v>
      </c>
      <c r="G56" s="171">
        <f t="shared" si="21"/>
        <v>-5078.78125</v>
      </c>
      <c r="H56" s="171">
        <f t="shared" si="21"/>
        <v>17721.21875</v>
      </c>
      <c r="I56" s="171">
        <f>I55+I54</f>
        <v>40521.21875</v>
      </c>
      <c r="J56" s="171">
        <f t="shared" ref="J56:M56" si="22">J55+J54</f>
        <v>63321.218750000029</v>
      </c>
      <c r="K56" s="171">
        <f t="shared" si="22"/>
        <v>86121.218750000029</v>
      </c>
      <c r="L56" s="171">
        <f t="shared" si="22"/>
        <v>108921.21875000003</v>
      </c>
      <c r="M56" s="171">
        <f t="shared" si="22"/>
        <v>131721.21875000003</v>
      </c>
    </row>
    <row r="57" spans="1:15" s="29" customFormat="1" ht="14">
      <c r="C57" s="29">
        <v>0</v>
      </c>
      <c r="D57" s="29">
        <v>1</v>
      </c>
      <c r="E57" s="29">
        <v>2</v>
      </c>
      <c r="F57" s="29">
        <v>3</v>
      </c>
      <c r="G57" s="29">
        <v>4</v>
      </c>
      <c r="H57" s="29">
        <v>5</v>
      </c>
      <c r="I57" s="29">
        <v>6</v>
      </c>
      <c r="J57" s="29">
        <v>7</v>
      </c>
      <c r="K57" s="29">
        <v>8</v>
      </c>
      <c r="L57" s="29">
        <v>9</v>
      </c>
      <c r="M57" s="29">
        <v>10</v>
      </c>
    </row>
    <row r="58" spans="1:15" s="195" customFormat="1" ht="14">
      <c r="D58" s="195">
        <f>(D56)/(1+$C$13)^D57</f>
        <v>-65606.0546875</v>
      </c>
      <c r="E58" s="195">
        <f t="shared" ref="E58:H58" si="23">(E56)/(1+$C$13)^E57</f>
        <v>-40400.814134247441</v>
      </c>
      <c r="F58" s="195">
        <f t="shared" si="23"/>
        <v>-19843.565826860871</v>
      </c>
      <c r="G58" s="195">
        <f t="shared" si="23"/>
        <v>-3227.6573006384865</v>
      </c>
      <c r="H58" s="195">
        <f t="shared" si="23"/>
        <v>10055.495434813985</v>
      </c>
      <c r="I58" s="195">
        <f>(I56)/(1+$C$13)^I57</f>
        <v>20529.310486783968</v>
      </c>
      <c r="J58" s="195">
        <f t="shared" ref="J58:M58" si="24">(J56)/(1+$C$13)^J57</f>
        <v>28643.303615738299</v>
      </c>
      <c r="K58" s="195">
        <f t="shared" si="24"/>
        <v>34782.915826267381</v>
      </c>
      <c r="L58" s="195">
        <f t="shared" si="24"/>
        <v>39278.083414461602</v>
      </c>
      <c r="M58" s="195">
        <f t="shared" si="24"/>
        <v>42410.707128608585</v>
      </c>
    </row>
    <row r="59" spans="1:15" s="29" customFormat="1" thickBot="1"/>
    <row r="60" spans="1:15" ht="16" thickBot="1">
      <c r="C60" s="216" t="s">
        <v>131</v>
      </c>
      <c r="D60" s="239">
        <f>SUM(D58:M58)-C41</f>
        <v>46621.723957427035</v>
      </c>
    </row>
    <row r="62" spans="1:15" ht="18">
      <c r="A62" s="189" t="s">
        <v>154</v>
      </c>
    </row>
    <row r="63" spans="1:15" s="4" customFormat="1" ht="14">
      <c r="A63" s="11" t="s">
        <v>21</v>
      </c>
      <c r="B63" s="6" t="s">
        <v>16</v>
      </c>
      <c r="C63" s="6" t="s">
        <v>45</v>
      </c>
      <c r="D63" s="6" t="s">
        <v>46</v>
      </c>
      <c r="E63" s="6" t="s">
        <v>47</v>
      </c>
      <c r="F63" s="6" t="s">
        <v>48</v>
      </c>
      <c r="G63" s="6" t="s">
        <v>49</v>
      </c>
      <c r="H63" s="6" t="s">
        <v>50</v>
      </c>
      <c r="I63" s="6" t="s">
        <v>51</v>
      </c>
      <c r="J63" s="6" t="s">
        <v>52</v>
      </c>
      <c r="K63" s="6" t="s">
        <v>53</v>
      </c>
      <c r="L63" s="6" t="s">
        <v>54</v>
      </c>
      <c r="M63" s="6" t="s">
        <v>55</v>
      </c>
      <c r="N63" s="6" t="s">
        <v>56</v>
      </c>
      <c r="O63" s="6" t="s">
        <v>57</v>
      </c>
    </row>
    <row r="64" spans="1:15" s="4" customFormat="1" ht="14">
      <c r="A64" s="4" t="s">
        <v>61</v>
      </c>
      <c r="B64" s="6" t="s">
        <v>17</v>
      </c>
      <c r="C64" s="6">
        <v>0</v>
      </c>
      <c r="D64" s="6"/>
      <c r="E64" s="6"/>
      <c r="F64" s="6"/>
      <c r="G64" s="6"/>
      <c r="H64" s="6"/>
      <c r="I64" s="6"/>
      <c r="J64" s="6"/>
      <c r="K64" s="6"/>
      <c r="L64" s="6"/>
      <c r="M64" s="6"/>
    </row>
    <row r="65" spans="1:15" s="4" customFormat="1" ht="14">
      <c r="A65" s="4" t="s">
        <v>59</v>
      </c>
      <c r="B65" s="6" t="s">
        <v>17</v>
      </c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</row>
    <row r="66" spans="1:15" s="4" customFormat="1" ht="14">
      <c r="A66" s="220" t="s">
        <v>60</v>
      </c>
      <c r="B66" s="221" t="s">
        <v>17</v>
      </c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</row>
    <row r="67" spans="1:15" s="4" customFormat="1" ht="14">
      <c r="A67" s="217" t="s">
        <v>145</v>
      </c>
      <c r="B67" s="218" t="s">
        <v>17</v>
      </c>
      <c r="C67" s="6"/>
      <c r="D67" s="6">
        <f>-$C$3*$C$4*$C$2</f>
        <v>-228000</v>
      </c>
      <c r="E67" s="6">
        <f>-($C$3-$C$3/12*E90)*$C$4*$C$2</f>
        <v>-209000</v>
      </c>
      <c r="F67" s="6">
        <f t="shared" ref="F67:O67" si="25">-($C$3-$C$3/12*F90)*$C$4*$C$2</f>
        <v>-190000</v>
      </c>
      <c r="G67" s="6">
        <f t="shared" si="25"/>
        <v>-171000</v>
      </c>
      <c r="H67" s="6">
        <f t="shared" si="25"/>
        <v>-152000</v>
      </c>
      <c r="I67" s="6">
        <f t="shared" si="25"/>
        <v>-133000</v>
      </c>
      <c r="J67" s="6">
        <f t="shared" si="25"/>
        <v>-114000</v>
      </c>
      <c r="K67" s="6">
        <f t="shared" si="25"/>
        <v>-95000.000000000015</v>
      </c>
      <c r="L67" s="6">
        <f t="shared" si="25"/>
        <v>-76000</v>
      </c>
      <c r="M67" s="6">
        <f t="shared" si="25"/>
        <v>-57000</v>
      </c>
      <c r="N67" s="6">
        <f t="shared" si="25"/>
        <v>-38000.000000000015</v>
      </c>
      <c r="O67" s="6">
        <f t="shared" si="25"/>
        <v>-19000.000000000029</v>
      </c>
    </row>
    <row r="68" spans="1:15" s="5" customFormat="1" ht="14">
      <c r="A68" s="217" t="s">
        <v>120</v>
      </c>
      <c r="B68" s="218" t="s">
        <v>17</v>
      </c>
      <c r="C68" s="7"/>
      <c r="D68" s="6">
        <v>0</v>
      </c>
      <c r="E68" s="6">
        <v>0</v>
      </c>
      <c r="F68" s="6">
        <v>0</v>
      </c>
      <c r="G68" s="6">
        <v>0</v>
      </c>
      <c r="H68" s="6">
        <v>0</v>
      </c>
      <c r="I68" s="6">
        <v>0</v>
      </c>
      <c r="J68" s="6">
        <v>0</v>
      </c>
      <c r="K68" s="6">
        <v>0</v>
      </c>
      <c r="L68" s="6">
        <v>0</v>
      </c>
      <c r="M68" s="6">
        <v>0</v>
      </c>
      <c r="N68" s="6">
        <v>0</v>
      </c>
      <c r="O68" s="6">
        <v>0</v>
      </c>
    </row>
    <row r="69" spans="1:15" s="5" customFormat="1" ht="14">
      <c r="A69" s="217" t="s">
        <v>121</v>
      </c>
      <c r="B69" s="218" t="s">
        <v>17</v>
      </c>
      <c r="C69" s="7"/>
      <c r="D69" s="6">
        <v>0</v>
      </c>
      <c r="E69" s="6">
        <v>0</v>
      </c>
      <c r="F69" s="6">
        <v>0</v>
      </c>
      <c r="G69" s="6">
        <v>0</v>
      </c>
      <c r="H69" s="6">
        <v>0</v>
      </c>
      <c r="I69" s="6">
        <v>0</v>
      </c>
      <c r="J69" s="6">
        <v>0</v>
      </c>
      <c r="K69" s="6">
        <v>0</v>
      </c>
      <c r="L69" s="6">
        <v>0</v>
      </c>
      <c r="M69" s="6">
        <v>0</v>
      </c>
      <c r="N69" s="6">
        <v>0</v>
      </c>
      <c r="O69" s="6">
        <v>0</v>
      </c>
    </row>
    <row r="70" spans="1:15" s="5" customFormat="1" ht="14">
      <c r="A70" s="217" t="s">
        <v>122</v>
      </c>
      <c r="B70" s="218" t="s">
        <v>17</v>
      </c>
      <c r="C70" s="7"/>
      <c r="D70" s="6">
        <f>'Costos Unitarios'!$C$26*$C$2*12</f>
        <v>225449.21875000003</v>
      </c>
      <c r="E70" s="6">
        <f>'Costos Unitarios'!$C$26*$C$2*12</f>
        <v>225449.21875000003</v>
      </c>
      <c r="F70" s="6">
        <f>'Costos Unitarios'!$C$26*$C$2*12</f>
        <v>225449.21875000003</v>
      </c>
      <c r="G70" s="6">
        <f>'Costos Unitarios'!$C$26*$C$2*12</f>
        <v>225449.21875000003</v>
      </c>
      <c r="H70" s="6">
        <f>'Costos Unitarios'!$C$26*$C$2*12</f>
        <v>225449.21875000003</v>
      </c>
      <c r="I70" s="6">
        <f>'Costos Unitarios'!$C$26*$C$2*12</f>
        <v>225449.21875000003</v>
      </c>
      <c r="J70" s="6">
        <f>'Costos Unitarios'!$C$26*$C$2*12</f>
        <v>225449.21875000003</v>
      </c>
      <c r="K70" s="6">
        <f>'Costos Unitarios'!$C$26*$C$2*12</f>
        <v>225449.21875000003</v>
      </c>
      <c r="L70" s="6">
        <f>'Costos Unitarios'!$C$26*$C$2*12</f>
        <v>225449.21875000003</v>
      </c>
      <c r="M70" s="6">
        <f>'Costos Unitarios'!$C$26*$C$2*12</f>
        <v>225449.21875000003</v>
      </c>
      <c r="N70" s="6">
        <f>'Costos Unitarios'!$C$26*$C$2*12</f>
        <v>225449.21875000003</v>
      </c>
      <c r="O70" s="6">
        <f>'Costos Unitarios'!$C$26*$C$2*12</f>
        <v>225449.21875000003</v>
      </c>
    </row>
    <row r="71" spans="1:15" s="5" customFormat="1" ht="14">
      <c r="A71" s="217" t="s">
        <v>123</v>
      </c>
      <c r="B71" s="218" t="s">
        <v>17</v>
      </c>
      <c r="C71" s="7"/>
      <c r="D71" s="6">
        <v>0</v>
      </c>
      <c r="E71" s="6">
        <v>0</v>
      </c>
      <c r="F71" s="6">
        <v>0</v>
      </c>
      <c r="G71" s="6">
        <v>0</v>
      </c>
      <c r="H71" s="6">
        <v>0</v>
      </c>
      <c r="I71" s="6">
        <v>0</v>
      </c>
      <c r="J71" s="6">
        <v>0</v>
      </c>
      <c r="K71" s="6">
        <v>0</v>
      </c>
      <c r="L71" s="6">
        <v>0</v>
      </c>
      <c r="M71" s="6">
        <v>0</v>
      </c>
      <c r="N71" s="6">
        <v>0</v>
      </c>
      <c r="O71" s="6">
        <v>0</v>
      </c>
    </row>
    <row r="72" spans="1:15" s="18" customFormat="1" ht="14">
      <c r="A72" s="217" t="s">
        <v>200</v>
      </c>
      <c r="B72" s="219" t="s">
        <v>17</v>
      </c>
      <c r="C72" s="7"/>
      <c r="D72" s="197">
        <f>-$C$3/12*$C$2</f>
        <v>-316666.66666666663</v>
      </c>
      <c r="E72" s="197">
        <f t="shared" ref="E72:O72" si="26">-$C$3/12*$C$2</f>
        <v>-316666.66666666663</v>
      </c>
      <c r="F72" s="197">
        <f t="shared" si="26"/>
        <v>-316666.66666666663</v>
      </c>
      <c r="G72" s="197">
        <f t="shared" si="26"/>
        <v>-316666.66666666663</v>
      </c>
      <c r="H72" s="197">
        <f t="shared" si="26"/>
        <v>-316666.66666666663</v>
      </c>
      <c r="I72" s="197">
        <f t="shared" si="26"/>
        <v>-316666.66666666663</v>
      </c>
      <c r="J72" s="197">
        <f t="shared" si="26"/>
        <v>-316666.66666666663</v>
      </c>
      <c r="K72" s="197">
        <f t="shared" si="26"/>
        <v>-316666.66666666663</v>
      </c>
      <c r="L72" s="197">
        <f t="shared" si="26"/>
        <v>-316666.66666666663</v>
      </c>
      <c r="M72" s="197">
        <f t="shared" si="26"/>
        <v>-316666.66666666663</v>
      </c>
      <c r="N72" s="197">
        <f t="shared" si="26"/>
        <v>-316666.66666666663</v>
      </c>
      <c r="O72" s="197">
        <f t="shared" si="26"/>
        <v>-316666.66666666663</v>
      </c>
    </row>
    <row r="73" spans="1:15" s="29" customFormat="1" ht="14">
      <c r="A73" s="217" t="s">
        <v>183</v>
      </c>
      <c r="B73" s="218" t="s">
        <v>17</v>
      </c>
      <c r="D73" s="6">
        <f>-$C$8*12</f>
        <v>0</v>
      </c>
      <c r="E73" s="6">
        <f t="shared" ref="E73:O73" si="27">-$C$8*12</f>
        <v>0</v>
      </c>
      <c r="F73" s="6">
        <f t="shared" si="27"/>
        <v>0</v>
      </c>
      <c r="G73" s="6">
        <f t="shared" si="27"/>
        <v>0</v>
      </c>
      <c r="H73" s="6">
        <f t="shared" si="27"/>
        <v>0</v>
      </c>
      <c r="I73" s="6">
        <f>-$C$8*12</f>
        <v>0</v>
      </c>
      <c r="J73" s="6">
        <f t="shared" si="27"/>
        <v>0</v>
      </c>
      <c r="K73" s="6">
        <f t="shared" si="27"/>
        <v>0</v>
      </c>
      <c r="L73" s="6">
        <f t="shared" si="27"/>
        <v>0</v>
      </c>
      <c r="M73" s="6">
        <f t="shared" si="27"/>
        <v>0</v>
      </c>
      <c r="N73" s="6">
        <f t="shared" si="27"/>
        <v>0</v>
      </c>
      <c r="O73" s="6">
        <f t="shared" si="27"/>
        <v>0</v>
      </c>
    </row>
    <row r="74" spans="1:15" s="29" customFormat="1" ht="14">
      <c r="A74" s="217" t="s">
        <v>150</v>
      </c>
      <c r="B74" s="218" t="s">
        <v>17</v>
      </c>
      <c r="D74" s="6">
        <f>+$C$7*12*$C$2</f>
        <v>120000</v>
      </c>
      <c r="E74" s="6">
        <f t="shared" ref="E74:O74" si="28">+$C$7*12*$C$2</f>
        <v>120000</v>
      </c>
      <c r="F74" s="6">
        <f t="shared" si="28"/>
        <v>120000</v>
      </c>
      <c r="G74" s="6">
        <f t="shared" si="28"/>
        <v>120000</v>
      </c>
      <c r="H74" s="6">
        <f t="shared" si="28"/>
        <v>120000</v>
      </c>
      <c r="I74" s="6">
        <f>+$C$7*12*$C$2</f>
        <v>120000</v>
      </c>
      <c r="J74" s="6">
        <f t="shared" si="28"/>
        <v>120000</v>
      </c>
      <c r="K74" s="6">
        <f t="shared" si="28"/>
        <v>120000</v>
      </c>
      <c r="L74" s="6">
        <f t="shared" si="28"/>
        <v>120000</v>
      </c>
      <c r="M74" s="6">
        <f t="shared" si="28"/>
        <v>120000</v>
      </c>
      <c r="N74" s="6">
        <f t="shared" si="28"/>
        <v>120000</v>
      </c>
      <c r="O74" s="6">
        <f t="shared" si="28"/>
        <v>120000</v>
      </c>
    </row>
    <row r="75" spans="1:15" s="29" customFormat="1" ht="14">
      <c r="A75" s="217" t="s">
        <v>164</v>
      </c>
      <c r="B75" s="218" t="s">
        <v>17</v>
      </c>
      <c r="D75" s="6">
        <f>$C$6*$C$5*$C$2*12</f>
        <v>0</v>
      </c>
      <c r="E75" s="6">
        <f t="shared" ref="E75:O75" si="29">$C$6*$C$5*$C$2*12</f>
        <v>0</v>
      </c>
      <c r="F75" s="6">
        <f t="shared" si="29"/>
        <v>0</v>
      </c>
      <c r="G75" s="6">
        <f t="shared" si="29"/>
        <v>0</v>
      </c>
      <c r="H75" s="6">
        <f t="shared" si="29"/>
        <v>0</v>
      </c>
      <c r="I75" s="6">
        <f>$C$6*$C$5*$C$2*12</f>
        <v>0</v>
      </c>
      <c r="J75" s="6">
        <f t="shared" si="29"/>
        <v>0</v>
      </c>
      <c r="K75" s="6">
        <f t="shared" si="29"/>
        <v>0</v>
      </c>
      <c r="L75" s="6">
        <f t="shared" si="29"/>
        <v>0</v>
      </c>
      <c r="M75" s="6">
        <f t="shared" si="29"/>
        <v>0</v>
      </c>
      <c r="N75" s="6">
        <f t="shared" si="29"/>
        <v>0</v>
      </c>
      <c r="O75" s="6">
        <f t="shared" si="29"/>
        <v>0</v>
      </c>
    </row>
    <row r="76" spans="1:15" s="29" customFormat="1" ht="14">
      <c r="A76" s="217" t="s">
        <v>182</v>
      </c>
      <c r="B76" s="218"/>
      <c r="D76" s="6">
        <f>$C$9*12</f>
        <v>0</v>
      </c>
      <c r="E76" s="6">
        <f t="shared" ref="E76:O76" si="30">$C$9*12</f>
        <v>0</v>
      </c>
      <c r="F76" s="6">
        <f t="shared" si="30"/>
        <v>0</v>
      </c>
      <c r="G76" s="6">
        <f t="shared" si="30"/>
        <v>0</v>
      </c>
      <c r="H76" s="6">
        <f t="shared" si="30"/>
        <v>0</v>
      </c>
      <c r="I76" s="6">
        <f>$C$9*12</f>
        <v>0</v>
      </c>
      <c r="J76" s="6">
        <f t="shared" si="30"/>
        <v>0</v>
      </c>
      <c r="K76" s="6">
        <f t="shared" si="30"/>
        <v>0</v>
      </c>
      <c r="L76" s="6">
        <f t="shared" si="30"/>
        <v>0</v>
      </c>
      <c r="M76" s="6">
        <f t="shared" si="30"/>
        <v>0</v>
      </c>
      <c r="N76" s="6">
        <f t="shared" si="30"/>
        <v>0</v>
      </c>
      <c r="O76" s="6">
        <f t="shared" si="30"/>
        <v>0</v>
      </c>
    </row>
    <row r="77" spans="1:15" s="187" customFormat="1" ht="14">
      <c r="A77" s="185" t="s">
        <v>127</v>
      </c>
      <c r="B77" s="191" t="s">
        <v>17</v>
      </c>
      <c r="D77" s="188">
        <f>SUM(D64:D76)</f>
        <v>-199217.44791666663</v>
      </c>
      <c r="E77" s="188">
        <f t="shared" ref="E77:O77" si="31">SUM(E64:E76)</f>
        <v>-180217.44791666663</v>
      </c>
      <c r="F77" s="188">
        <f t="shared" si="31"/>
        <v>-161217.44791666663</v>
      </c>
      <c r="G77" s="188">
        <f t="shared" si="31"/>
        <v>-142217.44791666663</v>
      </c>
      <c r="H77" s="188">
        <f t="shared" si="31"/>
        <v>-123217.4479166666</v>
      </c>
      <c r="I77" s="188">
        <f t="shared" si="31"/>
        <v>-104217.4479166666</v>
      </c>
      <c r="J77" s="188">
        <f t="shared" si="31"/>
        <v>-85217.447916666599</v>
      </c>
      <c r="K77" s="188">
        <f t="shared" si="31"/>
        <v>-66217.447916666628</v>
      </c>
      <c r="L77" s="188">
        <f t="shared" si="31"/>
        <v>-47217.447916666599</v>
      </c>
      <c r="M77" s="188">
        <f t="shared" si="31"/>
        <v>-28217.447916666599</v>
      </c>
      <c r="N77" s="188">
        <f t="shared" si="31"/>
        <v>-9217.4479166666279</v>
      </c>
      <c r="O77" s="188">
        <f t="shared" si="31"/>
        <v>9782.5520833333721</v>
      </c>
    </row>
    <row r="78" spans="1:15" s="4" customFormat="1" thickBot="1">
      <c r="A78" s="4" t="s">
        <v>125</v>
      </c>
      <c r="B78" s="6" t="s">
        <v>17</v>
      </c>
      <c r="D78" s="4">
        <f>$H$11*$C$2*12</f>
        <v>141804</v>
      </c>
      <c r="E78" s="4">
        <f t="shared" ref="E78:O78" si="32">$H$11*$C$2*12</f>
        <v>141804</v>
      </c>
      <c r="F78" s="4">
        <f t="shared" si="32"/>
        <v>141804</v>
      </c>
      <c r="G78" s="4">
        <f t="shared" si="32"/>
        <v>141804</v>
      </c>
      <c r="H78" s="4">
        <f t="shared" si="32"/>
        <v>141804</v>
      </c>
      <c r="I78" s="4">
        <f t="shared" si="32"/>
        <v>141804</v>
      </c>
      <c r="J78" s="4">
        <f t="shared" si="32"/>
        <v>141804</v>
      </c>
      <c r="K78" s="4">
        <f t="shared" si="32"/>
        <v>141804</v>
      </c>
      <c r="L78" s="4">
        <f t="shared" si="32"/>
        <v>141804</v>
      </c>
      <c r="M78" s="4">
        <f t="shared" si="32"/>
        <v>141804</v>
      </c>
      <c r="N78" s="4">
        <f t="shared" si="32"/>
        <v>141804</v>
      </c>
      <c r="O78" s="4">
        <f t="shared" si="32"/>
        <v>141804</v>
      </c>
    </row>
    <row r="79" spans="1:15" s="170" customFormat="1" thickBot="1">
      <c r="A79" s="170" t="s">
        <v>126</v>
      </c>
      <c r="B79" s="192" t="s">
        <v>17</v>
      </c>
      <c r="D79" s="171">
        <f>D78+D77</f>
        <v>-57413.447916666628</v>
      </c>
      <c r="E79" s="171">
        <f t="shared" ref="E79:O79" si="33">E78+E77</f>
        <v>-38413.447916666628</v>
      </c>
      <c r="F79" s="171">
        <f t="shared" si="33"/>
        <v>-19413.447916666628</v>
      </c>
      <c r="G79" s="171">
        <f t="shared" si="33"/>
        <v>-413.44791666662786</v>
      </c>
      <c r="H79" s="171">
        <f t="shared" si="33"/>
        <v>18586.552083333401</v>
      </c>
      <c r="I79" s="171">
        <f t="shared" si="33"/>
        <v>37586.552083333401</v>
      </c>
      <c r="J79" s="171">
        <f t="shared" si="33"/>
        <v>56586.552083333401</v>
      </c>
      <c r="K79" s="171">
        <f t="shared" si="33"/>
        <v>75586.552083333372</v>
      </c>
      <c r="L79" s="171">
        <f t="shared" si="33"/>
        <v>94586.552083333401</v>
      </c>
      <c r="M79" s="171">
        <f t="shared" si="33"/>
        <v>113586.5520833334</v>
      </c>
      <c r="N79" s="171">
        <f t="shared" si="33"/>
        <v>132586.55208333337</v>
      </c>
      <c r="O79" s="171">
        <f t="shared" si="33"/>
        <v>151586.55208333337</v>
      </c>
    </row>
    <row r="80" spans="1:15" s="29" customFormat="1" ht="14">
      <c r="C80" s="29">
        <v>0</v>
      </c>
      <c r="D80" s="29">
        <v>1</v>
      </c>
      <c r="E80" s="29">
        <v>2</v>
      </c>
      <c r="F80" s="29">
        <v>3</v>
      </c>
      <c r="G80" s="29">
        <v>4</v>
      </c>
      <c r="H80" s="29">
        <v>5</v>
      </c>
      <c r="I80" s="29">
        <v>6</v>
      </c>
      <c r="J80" s="29">
        <v>7</v>
      </c>
      <c r="K80" s="29">
        <v>8</v>
      </c>
      <c r="L80" s="29">
        <v>9</v>
      </c>
      <c r="M80" s="29">
        <v>10</v>
      </c>
      <c r="N80" s="29">
        <v>11</v>
      </c>
      <c r="O80" s="29">
        <v>12</v>
      </c>
    </row>
    <row r="81" spans="3:15" s="195" customFormat="1" ht="14">
      <c r="D81" s="195">
        <f>(D79)/(1+$C$13)^D80</f>
        <v>-51262.007068452338</v>
      </c>
      <c r="E81" s="195">
        <f t="shared" ref="E81:O81" si="34">(E79)/(1+$C$13)^E80</f>
        <v>-30622.965494791631</v>
      </c>
      <c r="F81" s="195">
        <f t="shared" si="34"/>
        <v>-13818.108769037717</v>
      </c>
      <c r="G81" s="195">
        <f t="shared" si="34"/>
        <v>-262.75362552045613</v>
      </c>
      <c r="H81" s="195">
        <f t="shared" si="34"/>
        <v>10546.508807295852</v>
      </c>
      <c r="I81" s="195">
        <f t="shared" si="34"/>
        <v>19042.517023168959</v>
      </c>
      <c r="J81" s="195">
        <f t="shared" si="34"/>
        <v>25596.882433516119</v>
      </c>
      <c r="K81" s="195">
        <f t="shared" si="34"/>
        <v>30528.14064724739</v>
      </c>
      <c r="L81" s="195">
        <f t="shared" si="34"/>
        <v>34108.858909692332</v>
      </c>
      <c r="M81" s="195">
        <f t="shared" si="34"/>
        <v>36571.829807448521</v>
      </c>
      <c r="N81" s="195">
        <f t="shared" si="34"/>
        <v>38115.465448814044</v>
      </c>
      <c r="O81" s="195">
        <f t="shared" si="34"/>
        <v>38908.492345260645</v>
      </c>
    </row>
    <row r="82" spans="3:15" s="29" customFormat="1" thickBot="1"/>
    <row r="83" spans="3:15" ht="16" thickBot="1">
      <c r="C83" s="216" t="s">
        <v>130</v>
      </c>
      <c r="D83" s="239">
        <f>SUM(D81:O81)-C64</f>
        <v>137452.86046464171</v>
      </c>
    </row>
    <row r="90" spans="3:15">
      <c r="E90">
        <v>1</v>
      </c>
      <c r="F90">
        <v>2</v>
      </c>
      <c r="G90">
        <v>3</v>
      </c>
      <c r="H90">
        <v>4</v>
      </c>
      <c r="I90">
        <v>5</v>
      </c>
      <c r="J90">
        <v>6</v>
      </c>
      <c r="K90">
        <v>7</v>
      </c>
      <c r="L90">
        <v>8</v>
      </c>
      <c r="M90">
        <v>9</v>
      </c>
      <c r="N90">
        <v>10</v>
      </c>
      <c r="O90">
        <v>11</v>
      </c>
    </row>
  </sheetData>
  <pageMargins left="0.75" right="0.75" top="1" bottom="1" header="0.5" footer="0.5"/>
  <pageSetup orientation="portrait" horizontalDpi="4294967292" verticalDpi="4294967292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83"/>
  <sheetViews>
    <sheetView showGridLines="0" topLeftCell="A4" zoomScale="115" zoomScaleNormal="115" zoomScalePageLayoutView="115" workbookViewId="0">
      <selection activeCell="A16" sqref="A16:XFD37"/>
    </sheetView>
  </sheetViews>
  <sheetFormatPr baseColWidth="10" defaultRowHeight="15" x14ac:dyDescent="0"/>
  <cols>
    <col min="1" max="1" width="32.33203125" customWidth="1"/>
    <col min="2" max="2" width="9" customWidth="1"/>
    <col min="3" max="3" width="12.83203125" bestFit="1" customWidth="1"/>
    <col min="4" max="4" width="13.83203125" bestFit="1" customWidth="1"/>
    <col min="5" max="8" width="12.5" customWidth="1"/>
    <col min="9" max="12" width="12" bestFit="1" customWidth="1"/>
    <col min="13" max="13" width="12.83203125" customWidth="1"/>
    <col min="14" max="15" width="12.5" customWidth="1"/>
  </cols>
  <sheetData>
    <row r="1" spans="1:9" ht="21" thickBot="1">
      <c r="A1" s="27" t="s">
        <v>21</v>
      </c>
      <c r="E1" t="s">
        <v>17</v>
      </c>
      <c r="F1">
        <v>550</v>
      </c>
    </row>
    <row r="2" spans="1:9" s="29" customFormat="1" thickBot="1">
      <c r="A2" s="29" t="s">
        <v>33</v>
      </c>
      <c r="C2" s="215">
        <v>100</v>
      </c>
    </row>
    <row r="3" spans="1:9" s="29" customFormat="1" ht="14">
      <c r="A3" s="225" t="s">
        <v>58</v>
      </c>
      <c r="B3" s="222" t="s">
        <v>17</v>
      </c>
      <c r="C3" s="229">
        <f>('Costos Unitarios'!$C$4-'Costos Unitarios'!D4)</f>
        <v>-82000</v>
      </c>
      <c r="D3" s="4"/>
      <c r="E3" s="4"/>
      <c r="F3" s="4"/>
      <c r="G3" s="4"/>
      <c r="H3" s="4"/>
      <c r="I3" s="4"/>
    </row>
    <row r="4" spans="1:9" s="29" customFormat="1" ht="14">
      <c r="A4" s="226" t="s">
        <v>162</v>
      </c>
      <c r="B4" s="223" t="s">
        <v>20</v>
      </c>
      <c r="C4" s="230">
        <v>0.06</v>
      </c>
      <c r="D4" s="4"/>
      <c r="E4" s="4"/>
      <c r="F4" s="4"/>
      <c r="G4" s="4"/>
      <c r="H4" s="4"/>
      <c r="I4" s="4"/>
    </row>
    <row r="5" spans="1:9" s="29" customFormat="1" ht="14">
      <c r="A5" s="226" t="s">
        <v>163</v>
      </c>
      <c r="B5" s="223"/>
      <c r="C5" s="231">
        <v>0</v>
      </c>
      <c r="D5" s="4"/>
      <c r="E5" s="4"/>
      <c r="F5" s="4"/>
      <c r="G5" s="4"/>
      <c r="H5" s="4"/>
      <c r="I5" s="4"/>
    </row>
    <row r="6" spans="1:9" s="29" customFormat="1" ht="14">
      <c r="A6" s="226" t="s">
        <v>166</v>
      </c>
      <c r="B6" s="223" t="s">
        <v>17</v>
      </c>
      <c r="C6" s="232">
        <v>1200</v>
      </c>
      <c r="D6" s="4"/>
      <c r="E6" s="4"/>
      <c r="F6" s="4"/>
      <c r="G6" s="4"/>
      <c r="H6" s="4"/>
      <c r="I6" s="4"/>
    </row>
    <row r="7" spans="1:9" s="29" customFormat="1" ht="14">
      <c r="A7" s="226" t="s">
        <v>178</v>
      </c>
      <c r="B7" s="223" t="s">
        <v>17</v>
      </c>
      <c r="C7" s="233">
        <v>-150</v>
      </c>
      <c r="D7" s="4"/>
      <c r="E7" s="4"/>
      <c r="F7" s="4"/>
      <c r="G7" s="4"/>
      <c r="H7" s="4"/>
      <c r="I7" s="4"/>
    </row>
    <row r="8" spans="1:9" s="29" customFormat="1" ht="14">
      <c r="A8" s="226" t="s">
        <v>179</v>
      </c>
      <c r="B8" s="223" t="s">
        <v>17</v>
      </c>
      <c r="C8" s="234">
        <f>+'RRHH y OP Híbrido'!$G$7/$F$1</f>
        <v>1454.5454545454545</v>
      </c>
      <c r="D8" s="4"/>
      <c r="E8" s="4"/>
      <c r="F8" s="4"/>
      <c r="G8" s="4"/>
      <c r="H8" s="4"/>
      <c r="I8" s="4"/>
    </row>
    <row r="9" spans="1:9" s="29" customFormat="1" ht="14">
      <c r="A9" s="226" t="s">
        <v>180</v>
      </c>
      <c r="B9" s="223" t="s">
        <v>17</v>
      </c>
      <c r="C9" s="234">
        <v>0</v>
      </c>
      <c r="D9" s="4"/>
      <c r="E9" s="4"/>
      <c r="F9" s="4"/>
      <c r="G9" s="4"/>
      <c r="H9" s="4"/>
      <c r="I9" s="4"/>
    </row>
    <row r="10" spans="1:9" s="29" customFormat="1" ht="14">
      <c r="A10" s="226" t="s">
        <v>181</v>
      </c>
      <c r="B10" s="223" t="s">
        <v>17</v>
      </c>
      <c r="C10" s="235">
        <f>+G10</f>
        <v>1516.5150000000001</v>
      </c>
      <c r="D10" s="4"/>
      <c r="E10" s="4">
        <v>3939</v>
      </c>
      <c r="F10" s="240">
        <v>0.38500000000000001</v>
      </c>
      <c r="G10" s="4">
        <f>+E10*(F10)</f>
        <v>1516.5150000000001</v>
      </c>
      <c r="H10" s="4"/>
      <c r="I10" s="4"/>
    </row>
    <row r="11" spans="1:9" s="29" customFormat="1" ht="14">
      <c r="A11" s="227" t="s">
        <v>160</v>
      </c>
      <c r="B11" s="223"/>
      <c r="C11" s="236">
        <v>300</v>
      </c>
      <c r="D11" s="4"/>
      <c r="E11" s="4"/>
      <c r="F11" s="4"/>
      <c r="G11" s="4"/>
      <c r="H11" s="4"/>
      <c r="I11" s="4"/>
    </row>
    <row r="12" spans="1:9" s="29" customFormat="1" ht="14">
      <c r="A12" s="227" t="s">
        <v>161</v>
      </c>
      <c r="B12" s="223" t="s">
        <v>17</v>
      </c>
      <c r="C12" s="237"/>
      <c r="D12" s="4"/>
      <c r="E12" s="4"/>
      <c r="F12" s="4"/>
      <c r="G12" s="4"/>
      <c r="H12" s="4"/>
      <c r="I12" s="4"/>
    </row>
    <row r="13" spans="1:9" s="29" customFormat="1" ht="14">
      <c r="A13" s="228" t="s">
        <v>128</v>
      </c>
      <c r="B13" s="224" t="s">
        <v>20</v>
      </c>
      <c r="C13" s="238">
        <v>0.12</v>
      </c>
      <c r="D13" s="4"/>
      <c r="E13" s="4"/>
      <c r="F13" s="4"/>
      <c r="G13" s="4"/>
      <c r="H13" s="4"/>
      <c r="I13" s="4"/>
    </row>
    <row r="14" spans="1:9" s="29" customFormat="1" ht="14">
      <c r="B14" s="183"/>
      <c r="D14" s="4"/>
      <c r="E14" s="4"/>
      <c r="F14" s="4"/>
      <c r="G14" s="4"/>
      <c r="H14" s="4"/>
      <c r="I14" s="4"/>
    </row>
    <row r="15" spans="1:9" s="29" customFormat="1" ht="14"/>
    <row r="16" spans="1:9" s="29" customFormat="1" ht="18">
      <c r="A16" s="189" t="s">
        <v>151</v>
      </c>
    </row>
    <row r="17" spans="1:8" s="4" customFormat="1" ht="14">
      <c r="A17" s="11" t="s">
        <v>21</v>
      </c>
      <c r="B17" s="6" t="s">
        <v>16</v>
      </c>
      <c r="C17" s="6" t="s">
        <v>45</v>
      </c>
      <c r="D17" s="6" t="s">
        <v>46</v>
      </c>
      <c r="E17" s="6" t="s">
        <v>47</v>
      </c>
      <c r="F17" s="6" t="s">
        <v>48</v>
      </c>
      <c r="G17" s="6" t="s">
        <v>49</v>
      </c>
      <c r="H17" s="6" t="s">
        <v>50</v>
      </c>
    </row>
    <row r="18" spans="1:8" s="4" customFormat="1" ht="14">
      <c r="A18" s="4" t="s">
        <v>61</v>
      </c>
      <c r="B18" s="6" t="s">
        <v>17</v>
      </c>
      <c r="C18" s="6">
        <v>0</v>
      </c>
      <c r="D18" s="6"/>
      <c r="E18" s="6"/>
      <c r="F18" s="6"/>
      <c r="G18" s="6"/>
      <c r="H18" s="6"/>
    </row>
    <row r="19" spans="1:8" s="4" customFormat="1" ht="14">
      <c r="A19" s="4" t="s">
        <v>59</v>
      </c>
      <c r="B19" s="6" t="s">
        <v>17</v>
      </c>
      <c r="C19" s="6"/>
      <c r="D19" s="6"/>
      <c r="E19" s="6"/>
      <c r="F19" s="6"/>
      <c r="G19" s="6"/>
      <c r="H19" s="6"/>
    </row>
    <row r="20" spans="1:8" s="4" customFormat="1" ht="14">
      <c r="A20" s="4" t="s">
        <v>60</v>
      </c>
      <c r="B20" s="6" t="s">
        <v>17</v>
      </c>
      <c r="C20" s="6"/>
      <c r="D20" s="6"/>
      <c r="E20" s="6"/>
      <c r="F20" s="6"/>
      <c r="G20" s="6"/>
      <c r="H20" s="6"/>
    </row>
    <row r="21" spans="1:8" s="4" customFormat="1" ht="14">
      <c r="A21" s="217" t="s">
        <v>145</v>
      </c>
      <c r="B21" s="218" t="s">
        <v>17</v>
      </c>
      <c r="C21" s="6"/>
      <c r="D21" s="6">
        <f>+C3*C4*$C$2</f>
        <v>-492000</v>
      </c>
      <c r="E21" s="6">
        <f>-(-C3-'Costos Unitarios'!$E$36)*'Híbrido DELTA'!$C$4*'Híbrido DELTA'!$C$2</f>
        <v>-393600</v>
      </c>
      <c r="F21" s="6">
        <f>-(-$C$3-'Costos Unitarios'!$E$36*2)*'Híbrido DELTA'!$C$4*'Híbrido DELTA'!$C$2</f>
        <v>-295200</v>
      </c>
      <c r="G21" s="6">
        <f>-(-$C$3-'Costos Unitarios'!$E$36*3)*'Híbrido DELTA'!$C$4*'Híbrido DELTA'!$C$2</f>
        <v>-196800</v>
      </c>
      <c r="H21" s="6">
        <f>-(-$C$3-'Costos Unitarios'!$E$36*4)*'Híbrido DELTA'!$C$4*'Híbrido DELTA'!$C$2</f>
        <v>-98400</v>
      </c>
    </row>
    <row r="22" spans="1:8" s="5" customFormat="1" ht="14">
      <c r="A22" s="217" t="s">
        <v>120</v>
      </c>
      <c r="B22" s="218" t="s">
        <v>17</v>
      </c>
      <c r="C22" s="7"/>
      <c r="D22" s="6">
        <f>-'Costos Unitarios'!$E$16*12*$C$2</f>
        <v>1406250</v>
      </c>
      <c r="E22" s="6">
        <f>-'Costos Unitarios'!$E$16*12*$C$2</f>
        <v>1406250</v>
      </c>
      <c r="F22" s="6">
        <f>-'Costos Unitarios'!$E$16*12*$C$2</f>
        <v>1406250</v>
      </c>
      <c r="G22" s="6">
        <f>-'Costos Unitarios'!$E$16*12*$C$2</f>
        <v>1406250</v>
      </c>
      <c r="H22" s="6">
        <f>-'Costos Unitarios'!$E$16*12*$C$2</f>
        <v>1406250</v>
      </c>
    </row>
    <row r="23" spans="1:8" s="5" customFormat="1" ht="14">
      <c r="A23" s="217" t="s">
        <v>121</v>
      </c>
      <c r="B23" s="218" t="s">
        <v>17</v>
      </c>
      <c r="C23" s="7"/>
      <c r="D23" s="6">
        <f>-'Costos Unitarios'!$D$22*'Híbrido DELTA'!$C$2</f>
        <v>-1231650</v>
      </c>
      <c r="E23" s="6">
        <f>-'Costos Unitarios'!$D$22*'Híbrido DELTA'!$C$2</f>
        <v>-1231650</v>
      </c>
      <c r="F23" s="6">
        <f>-'Costos Unitarios'!$D$22*'Híbrido DELTA'!$C$2</f>
        <v>-1231650</v>
      </c>
      <c r="G23" s="6">
        <f>-'Costos Unitarios'!$D$22*'Híbrido DELTA'!$C$2</f>
        <v>-1231650</v>
      </c>
      <c r="H23" s="6">
        <f>-'Costos Unitarios'!$D$22*'Híbrido DELTA'!$C$2</f>
        <v>-1231650</v>
      </c>
    </row>
    <row r="24" spans="1:8" s="5" customFormat="1" ht="14">
      <c r="A24" s="217" t="s">
        <v>122</v>
      </c>
      <c r="B24" s="218" t="s">
        <v>17</v>
      </c>
      <c r="C24" s="7"/>
      <c r="D24" s="6">
        <f>-'Costos Unitarios'!$E$26*$C$2*12</f>
        <v>67634.765625</v>
      </c>
      <c r="E24" s="6">
        <f>-'Costos Unitarios'!$E$26*$C$2*12</f>
        <v>67634.765625</v>
      </c>
      <c r="F24" s="6">
        <f>-'Costos Unitarios'!$E$26*$C$2*12</f>
        <v>67634.765625</v>
      </c>
      <c r="G24" s="6">
        <f>-'Costos Unitarios'!$E$26*$C$2*12</f>
        <v>67634.765625</v>
      </c>
      <c r="H24" s="6">
        <f>-'Costos Unitarios'!$E$26*$C$2*12</f>
        <v>67634.765625</v>
      </c>
    </row>
    <row r="25" spans="1:8" s="5" customFormat="1" ht="14">
      <c r="A25" s="217" t="s">
        <v>123</v>
      </c>
      <c r="B25" s="218" t="s">
        <v>17</v>
      </c>
      <c r="C25" s="7"/>
      <c r="D25" s="6">
        <f>-'Costos Unitarios'!$E$31*$C$2*12</f>
        <v>111562.5</v>
      </c>
      <c r="E25" s="6">
        <f>-'Costos Unitarios'!$E$31*$C$2*12</f>
        <v>111562.5</v>
      </c>
      <c r="F25" s="6">
        <f>-'Costos Unitarios'!$E$31*$C$2*12</f>
        <v>111562.5</v>
      </c>
      <c r="G25" s="6">
        <f>-'Costos Unitarios'!$E$31*$C$2*12</f>
        <v>111562.5</v>
      </c>
      <c r="H25" s="6">
        <f>-'Costos Unitarios'!$E$31*$C$2*12</f>
        <v>111562.5</v>
      </c>
    </row>
    <row r="26" spans="1:8" s="18" customFormat="1" ht="14">
      <c r="A26" s="217" t="s">
        <v>124</v>
      </c>
      <c r="B26" s="219" t="s">
        <v>17</v>
      </c>
      <c r="C26" s="7"/>
      <c r="D26" s="197">
        <f>-'Costos Unitarios'!$E$35*12*$C$2</f>
        <v>-1640000</v>
      </c>
      <c r="E26" s="197">
        <f>-'Costos Unitarios'!$E$35*12*$C$2</f>
        <v>-1640000</v>
      </c>
      <c r="F26" s="197">
        <f>-'Costos Unitarios'!$E$35*12*$C$2</f>
        <v>-1640000</v>
      </c>
      <c r="G26" s="197">
        <f>-'Costos Unitarios'!$E$35*12*$C$2</f>
        <v>-1640000</v>
      </c>
      <c r="H26" s="197">
        <f>-'Costos Unitarios'!$E$35*12*$C$2</f>
        <v>-1640000</v>
      </c>
    </row>
    <row r="27" spans="1:8" s="29" customFormat="1" ht="14">
      <c r="A27" s="217" t="s">
        <v>183</v>
      </c>
      <c r="B27" s="218" t="s">
        <v>17</v>
      </c>
      <c r="D27" s="6">
        <f>-$C$8*12</f>
        <v>-17454.545454545456</v>
      </c>
      <c r="E27" s="6">
        <f t="shared" ref="E27:H27" si="0">-$C$8*12</f>
        <v>-17454.545454545456</v>
      </c>
      <c r="F27" s="6">
        <f t="shared" si="0"/>
        <v>-17454.545454545456</v>
      </c>
      <c r="G27" s="6">
        <f t="shared" si="0"/>
        <v>-17454.545454545456</v>
      </c>
      <c r="H27" s="6">
        <f t="shared" si="0"/>
        <v>-17454.545454545456</v>
      </c>
    </row>
    <row r="28" spans="1:8" s="29" customFormat="1" ht="14">
      <c r="A28" s="217" t="s">
        <v>150</v>
      </c>
      <c r="B28" s="218" t="s">
        <v>17</v>
      </c>
      <c r="D28" s="6">
        <f>+$C$7*12*$C$2</f>
        <v>-180000</v>
      </c>
      <c r="E28" s="6">
        <f t="shared" ref="E28:H28" si="1">+$C$7*12*$C$2</f>
        <v>-180000</v>
      </c>
      <c r="F28" s="6">
        <f t="shared" si="1"/>
        <v>-180000</v>
      </c>
      <c r="G28" s="6">
        <f t="shared" si="1"/>
        <v>-180000</v>
      </c>
      <c r="H28" s="6">
        <f t="shared" si="1"/>
        <v>-180000</v>
      </c>
    </row>
    <row r="29" spans="1:8" s="29" customFormat="1" ht="14">
      <c r="A29" s="217" t="s">
        <v>164</v>
      </c>
      <c r="B29" s="218" t="s">
        <v>17</v>
      </c>
      <c r="D29" s="6">
        <f>$C$6*$C$5*$C$2*12</f>
        <v>0</v>
      </c>
      <c r="E29" s="6">
        <f>$C$6*$C$5*$C$2*12</f>
        <v>0</v>
      </c>
      <c r="F29" s="6">
        <f>$C$6*$C$5*$C$2*12</f>
        <v>0</v>
      </c>
      <c r="G29" s="6">
        <f>$C$6*$C$5*$C$2*12</f>
        <v>0</v>
      </c>
      <c r="H29" s="6">
        <f>$C$6*$C$5*$C$2*12</f>
        <v>0</v>
      </c>
    </row>
    <row r="30" spans="1:8" s="29" customFormat="1" ht="14">
      <c r="A30" s="217" t="s">
        <v>182</v>
      </c>
      <c r="B30" s="218"/>
      <c r="D30" s="6">
        <f>$C$9*12</f>
        <v>0</v>
      </c>
      <c r="E30" s="6">
        <f t="shared" ref="E30:H30" si="2">$C$9*12</f>
        <v>0</v>
      </c>
      <c r="F30" s="6">
        <f t="shared" si="2"/>
        <v>0</v>
      </c>
      <c r="G30" s="6">
        <f t="shared" si="2"/>
        <v>0</v>
      </c>
      <c r="H30" s="6">
        <f t="shared" si="2"/>
        <v>0</v>
      </c>
    </row>
    <row r="31" spans="1:8" s="187" customFormat="1" ht="14">
      <c r="A31" s="185" t="s">
        <v>127</v>
      </c>
      <c r="B31" s="191" t="s">
        <v>17</v>
      </c>
      <c r="D31" s="188">
        <f>SUM(D18:D29)</f>
        <v>-1975657.2798295454</v>
      </c>
      <c r="E31" s="188">
        <f t="shared" ref="E31:H31" si="3">SUM(E18:E29)</f>
        <v>-1877257.2798295454</v>
      </c>
      <c r="F31" s="188">
        <f t="shared" si="3"/>
        <v>-1778857.2798295454</v>
      </c>
      <c r="G31" s="188">
        <f t="shared" si="3"/>
        <v>-1680457.2798295454</v>
      </c>
      <c r="H31" s="188">
        <f t="shared" si="3"/>
        <v>-1582057.2798295454</v>
      </c>
    </row>
    <row r="32" spans="1:8" s="4" customFormat="1" thickBot="1">
      <c r="A32" s="4" t="s">
        <v>125</v>
      </c>
      <c r="B32" s="6" t="s">
        <v>17</v>
      </c>
      <c r="D32" s="4">
        <f>$C$10*$C$2*12</f>
        <v>1819818</v>
      </c>
      <c r="E32" s="4">
        <f t="shared" ref="E32:H32" si="4">$C$10*$C$2*12</f>
        <v>1819818</v>
      </c>
      <c r="F32" s="4">
        <f t="shared" si="4"/>
        <v>1819818</v>
      </c>
      <c r="G32" s="4">
        <f t="shared" si="4"/>
        <v>1819818</v>
      </c>
      <c r="H32" s="4">
        <f t="shared" si="4"/>
        <v>1819818</v>
      </c>
    </row>
    <row r="33" spans="1:13" s="170" customFormat="1" thickBot="1">
      <c r="A33" s="170" t="s">
        <v>126</v>
      </c>
      <c r="B33" s="192" t="s">
        <v>17</v>
      </c>
      <c r="D33" s="171">
        <f>D32+D31</f>
        <v>-155839.27982954541</v>
      </c>
      <c r="E33" s="171">
        <f t="shared" ref="E33:H33" si="5">E32+E31</f>
        <v>-57439.279829545412</v>
      </c>
      <c r="F33" s="171">
        <f t="shared" si="5"/>
        <v>40960.720170454588</v>
      </c>
      <c r="G33" s="171">
        <f t="shared" si="5"/>
        <v>139360.72017045459</v>
      </c>
      <c r="H33" s="171">
        <f t="shared" si="5"/>
        <v>237760.72017045459</v>
      </c>
    </row>
    <row r="34" spans="1:13" s="29" customFormat="1" ht="14">
      <c r="C34" s="29">
        <v>0</v>
      </c>
      <c r="D34" s="29">
        <v>1</v>
      </c>
      <c r="E34" s="29">
        <v>2</v>
      </c>
      <c r="F34" s="29">
        <v>3</v>
      </c>
      <c r="G34" s="29">
        <v>4</v>
      </c>
      <c r="H34" s="29">
        <v>5</v>
      </c>
    </row>
    <row r="35" spans="1:13" s="195" customFormat="1" ht="14">
      <c r="D35" s="195">
        <f>(D33)/(1+$C$13)^D34</f>
        <v>-139142.21413352268</v>
      </c>
      <c r="E35" s="195">
        <f>(E33)/(1+$C$13)^E34</f>
        <v>-45790.242211053417</v>
      </c>
      <c r="F35" s="195">
        <f>(F33)/(1+$C$13)^F34</f>
        <v>29155.031553541943</v>
      </c>
      <c r="G35" s="195">
        <f>(G33)/(1+$C$13)^G34</f>
        <v>88566.257087840699</v>
      </c>
      <c r="H35" s="195">
        <f>(H33)/(1+$C$13)^H34</f>
        <v>134911.81785971078</v>
      </c>
    </row>
    <row r="36" spans="1:13" s="29" customFormat="1" thickBot="1"/>
    <row r="37" spans="1:13" ht="16" thickBot="1">
      <c r="C37" s="216" t="s">
        <v>132</v>
      </c>
      <c r="D37" s="239">
        <f>SUM(D35:H35)-C18</f>
        <v>67700.650156517338</v>
      </c>
    </row>
    <row r="39" spans="1:13" ht="18">
      <c r="A39" s="189" t="s">
        <v>152</v>
      </c>
    </row>
    <row r="40" spans="1:13" s="4" customFormat="1" ht="14">
      <c r="A40" s="11" t="s">
        <v>21</v>
      </c>
      <c r="B40" s="6" t="s">
        <v>16</v>
      </c>
      <c r="C40" s="6" t="s">
        <v>45</v>
      </c>
      <c r="D40" s="6" t="s">
        <v>46</v>
      </c>
      <c r="E40" s="6" t="s">
        <v>47</v>
      </c>
      <c r="F40" s="6" t="s">
        <v>48</v>
      </c>
      <c r="G40" s="6" t="s">
        <v>49</v>
      </c>
      <c r="H40" s="6" t="s">
        <v>50</v>
      </c>
      <c r="I40" s="6" t="s">
        <v>51</v>
      </c>
      <c r="J40" s="6" t="s">
        <v>52</v>
      </c>
      <c r="K40" s="6" t="s">
        <v>53</v>
      </c>
      <c r="L40" s="6" t="s">
        <v>54</v>
      </c>
      <c r="M40" s="6" t="s">
        <v>55</v>
      </c>
    </row>
    <row r="41" spans="1:13" s="4" customFormat="1" ht="14">
      <c r="A41" s="4" t="s">
        <v>61</v>
      </c>
      <c r="B41" s="6" t="s">
        <v>17</v>
      </c>
      <c r="C41" s="6">
        <v>0</v>
      </c>
      <c r="D41" s="6"/>
      <c r="E41" s="6"/>
      <c r="F41" s="6"/>
      <c r="G41" s="6"/>
      <c r="H41" s="6"/>
      <c r="I41" s="6"/>
      <c r="J41" s="6"/>
      <c r="K41" s="6"/>
      <c r="L41" s="6"/>
      <c r="M41" s="6"/>
    </row>
    <row r="42" spans="1:13" s="4" customFormat="1" ht="14">
      <c r="A42" s="4" t="s">
        <v>59</v>
      </c>
      <c r="B42" s="6" t="s">
        <v>17</v>
      </c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</row>
    <row r="43" spans="1:13" s="4" customFormat="1" ht="14">
      <c r="A43" s="4" t="s">
        <v>60</v>
      </c>
      <c r="B43" s="6" t="s">
        <v>17</v>
      </c>
      <c r="C43" s="6"/>
      <c r="D43" s="6"/>
      <c r="E43" s="6"/>
      <c r="F43" s="6"/>
      <c r="G43" s="6"/>
      <c r="H43" s="6"/>
      <c r="I43" s="208">
        <f>0.35*$C$2*$C$3*0</f>
        <v>0</v>
      </c>
      <c r="J43" s="6"/>
      <c r="K43" s="6"/>
      <c r="L43" s="6"/>
      <c r="M43" s="6"/>
    </row>
    <row r="44" spans="1:13" s="4" customFormat="1" ht="14">
      <c r="A44" s="217" t="s">
        <v>145</v>
      </c>
      <c r="B44" s="218" t="s">
        <v>17</v>
      </c>
      <c r="C44" s="6"/>
      <c r="D44" s="6">
        <v>0</v>
      </c>
      <c r="E44" s="6">
        <v>0</v>
      </c>
      <c r="F44" s="6">
        <v>0</v>
      </c>
      <c r="G44" s="6">
        <v>0</v>
      </c>
      <c r="H44" s="6">
        <v>0</v>
      </c>
      <c r="I44" s="6">
        <v>0</v>
      </c>
      <c r="J44" s="6">
        <v>0</v>
      </c>
      <c r="K44" s="6">
        <v>0</v>
      </c>
      <c r="L44" s="6">
        <v>0</v>
      </c>
      <c r="M44" s="6">
        <v>0</v>
      </c>
    </row>
    <row r="45" spans="1:13" s="5" customFormat="1" ht="14">
      <c r="A45" s="217" t="s">
        <v>120</v>
      </c>
      <c r="B45" s="218" t="s">
        <v>17</v>
      </c>
      <c r="C45" s="7"/>
      <c r="D45" s="6">
        <f>-'Costos Unitarios'!$E$16*12*$C$2</f>
        <v>1406250</v>
      </c>
      <c r="E45" s="6">
        <f>-'Costos Unitarios'!$E$16*12*$C$2</f>
        <v>1406250</v>
      </c>
      <c r="F45" s="6">
        <f>-'Costos Unitarios'!$E$16*12*$C$2</f>
        <v>1406250</v>
      </c>
      <c r="G45" s="6">
        <f>-'Costos Unitarios'!$E$16*12*$C$2</f>
        <v>1406250</v>
      </c>
      <c r="H45" s="6">
        <f>-'Costos Unitarios'!$E$16*12*$C$2</f>
        <v>1406250</v>
      </c>
      <c r="I45" s="6">
        <f>-'Costos Unitarios'!$E$16*12*$C$2</f>
        <v>1406250</v>
      </c>
      <c r="J45" s="6">
        <f>-'Costos Unitarios'!$E$16*12*$C$2</f>
        <v>1406250</v>
      </c>
      <c r="K45" s="6">
        <f>-'Costos Unitarios'!$E$16*12*$C$2</f>
        <v>1406250</v>
      </c>
      <c r="L45" s="6">
        <f>-'Costos Unitarios'!$E$16*12*$C$2</f>
        <v>1406250</v>
      </c>
      <c r="M45" s="6">
        <f>-'Costos Unitarios'!$E$16*12*$C$2</f>
        <v>1406250</v>
      </c>
    </row>
    <row r="46" spans="1:13" s="5" customFormat="1" ht="14">
      <c r="A46" s="217" t="s">
        <v>121</v>
      </c>
      <c r="B46" s="218" t="s">
        <v>17</v>
      </c>
      <c r="C46" s="7"/>
      <c r="D46" s="6">
        <f>-'Costos Unitarios'!$D$22*'Híbrido DELTA'!$C$2*0</f>
        <v>0</v>
      </c>
      <c r="E46" s="6">
        <f>-'Costos Unitarios'!$D$22*'Híbrido DELTA'!$C$2*0</f>
        <v>0</v>
      </c>
      <c r="F46" s="6">
        <f>-'Costos Unitarios'!$D$22*'Híbrido DELTA'!$C$2*0</f>
        <v>0</v>
      </c>
      <c r="G46" s="6">
        <f>-'Costos Unitarios'!$D$22*'Híbrido DELTA'!$C$2*0</f>
        <v>0</v>
      </c>
      <c r="H46" s="6">
        <f>-'Costos Unitarios'!$D$22*'Híbrido DELTA'!$C$2*0</f>
        <v>0</v>
      </c>
      <c r="I46" s="6">
        <f>-'Costos Unitarios'!$D$22*'Híbrido DELTA'!$C$2*0</f>
        <v>0</v>
      </c>
      <c r="J46" s="6">
        <f>-'Costos Unitarios'!$D$22*'Híbrido DELTA'!$C$2*0</f>
        <v>0</v>
      </c>
      <c r="K46" s="6">
        <f>-'Costos Unitarios'!$D$22*'Híbrido DELTA'!$C$2*0</f>
        <v>0</v>
      </c>
      <c r="L46" s="6">
        <f>-'Costos Unitarios'!$D$22*'Híbrido DELTA'!$C$2*0</f>
        <v>0</v>
      </c>
      <c r="M46" s="6">
        <f>-'Costos Unitarios'!$D$22*'Híbrido DELTA'!$C$2*0</f>
        <v>0</v>
      </c>
    </row>
    <row r="47" spans="1:13" s="5" customFormat="1" ht="14">
      <c r="A47" s="217" t="s">
        <v>122</v>
      </c>
      <c r="B47" s="218" t="s">
        <v>17</v>
      </c>
      <c r="C47" s="7"/>
      <c r="D47" s="6">
        <f>-'Costos Unitarios'!$E$26*$C$2*12</f>
        <v>67634.765625</v>
      </c>
      <c r="E47" s="6">
        <f>-'Costos Unitarios'!$E$26*$C$2*12</f>
        <v>67634.765625</v>
      </c>
      <c r="F47" s="6">
        <f>-'Costos Unitarios'!$E$26*$C$2*12</f>
        <v>67634.765625</v>
      </c>
      <c r="G47" s="6">
        <f>-'Costos Unitarios'!$E$26*$C$2*12</f>
        <v>67634.765625</v>
      </c>
      <c r="H47" s="6">
        <f>-'Costos Unitarios'!$E$26*$C$2*12</f>
        <v>67634.765625</v>
      </c>
      <c r="I47" s="6">
        <f>-'Costos Unitarios'!$E$26*$C$2*12</f>
        <v>67634.765625</v>
      </c>
      <c r="J47" s="6">
        <f>-'Costos Unitarios'!$E$26*$C$2*12</f>
        <v>67634.765625</v>
      </c>
      <c r="K47" s="6">
        <f>-'Costos Unitarios'!$E$26*$C$2*12</f>
        <v>67634.765625</v>
      </c>
      <c r="L47" s="6">
        <f>-'Costos Unitarios'!$E$26*$C$2*12</f>
        <v>67634.765625</v>
      </c>
      <c r="M47" s="6">
        <f>-'Costos Unitarios'!$E$26*$C$2*12</f>
        <v>67634.765625</v>
      </c>
    </row>
    <row r="48" spans="1:13" s="5" customFormat="1" ht="14">
      <c r="A48" s="217" t="s">
        <v>123</v>
      </c>
      <c r="B48" s="218" t="s">
        <v>17</v>
      </c>
      <c r="C48" s="7"/>
      <c r="D48" s="6">
        <f>-'Costos Unitarios'!$E$31*$C$2*12</f>
        <v>111562.5</v>
      </c>
      <c r="E48" s="6">
        <f>-'Costos Unitarios'!$E$31*$C$2*12</f>
        <v>111562.5</v>
      </c>
      <c r="F48" s="6">
        <f>-'Costos Unitarios'!$E$31*$C$2*12</f>
        <v>111562.5</v>
      </c>
      <c r="G48" s="6">
        <f>-'Costos Unitarios'!$E$31*$C$2*12</f>
        <v>111562.5</v>
      </c>
      <c r="H48" s="6">
        <f>-'Costos Unitarios'!$E$31*$C$2*12</f>
        <v>111562.5</v>
      </c>
      <c r="I48" s="6">
        <f>-'Costos Unitarios'!$E$31*$C$2*12</f>
        <v>111562.5</v>
      </c>
      <c r="J48" s="6">
        <f>-'Costos Unitarios'!$E$31*$C$2*12</f>
        <v>111562.5</v>
      </c>
      <c r="K48" s="6">
        <f>-'Costos Unitarios'!$E$31*$C$2*12</f>
        <v>111562.5</v>
      </c>
      <c r="L48" s="6">
        <f>-'Costos Unitarios'!$E$31*$C$2*12</f>
        <v>111562.5</v>
      </c>
      <c r="M48" s="6">
        <f>-'Costos Unitarios'!$E$31*$C$2*12</f>
        <v>111562.5</v>
      </c>
    </row>
    <row r="49" spans="1:15" s="18" customFormat="1" ht="14">
      <c r="A49" s="217" t="s">
        <v>153</v>
      </c>
      <c r="B49" s="219" t="s">
        <v>17</v>
      </c>
      <c r="C49" s="7"/>
      <c r="D49" s="197">
        <f>-'Costos Unitarios'!E37*C2</f>
        <v>-820000</v>
      </c>
      <c r="E49" s="197">
        <f>-'Costos Unitarios'!$E$35*12*$C$2</f>
        <v>-1640000</v>
      </c>
      <c r="F49" s="197">
        <f>-'Costos Unitarios'!$E$35*12*$C$2</f>
        <v>-1640000</v>
      </c>
      <c r="G49" s="197">
        <f>-'Costos Unitarios'!$E$35*12*$C$2</f>
        <v>-1640000</v>
      </c>
      <c r="H49" s="197">
        <f>-'Costos Unitarios'!$E$35*12*$C$2</f>
        <v>-1640000</v>
      </c>
      <c r="I49" s="197">
        <f>-'Costos Unitarios'!$E$35*12*$C$2</f>
        <v>-1640000</v>
      </c>
      <c r="J49" s="197">
        <f>-'Costos Unitarios'!$E$35*12*$C$2</f>
        <v>-1640000</v>
      </c>
      <c r="K49" s="197">
        <f>-'Costos Unitarios'!$E$35*12*$C$2</f>
        <v>-1640000</v>
      </c>
      <c r="L49" s="197">
        <f>-'Costos Unitarios'!$E$35*12*$C$2</f>
        <v>-1640000</v>
      </c>
      <c r="M49" s="197">
        <f>-'Costos Unitarios'!$E$35*12*$C$2</f>
        <v>-1640000</v>
      </c>
      <c r="N49" s="198"/>
    </row>
    <row r="50" spans="1:15" s="29" customFormat="1" ht="14">
      <c r="A50" s="217" t="s">
        <v>167</v>
      </c>
      <c r="B50" s="218" t="s">
        <v>17</v>
      </c>
      <c r="D50" s="6">
        <f>-$C$8*12</f>
        <v>-17454.545454545456</v>
      </c>
      <c r="E50" s="6">
        <f t="shared" ref="E50:M50" si="6">-$C$8*12</f>
        <v>-17454.545454545456</v>
      </c>
      <c r="F50" s="6">
        <f t="shared" si="6"/>
        <v>-17454.545454545456</v>
      </c>
      <c r="G50" s="6">
        <f t="shared" si="6"/>
        <v>-17454.545454545456</v>
      </c>
      <c r="H50" s="6">
        <f t="shared" si="6"/>
        <v>-17454.545454545456</v>
      </c>
      <c r="I50" s="6">
        <f t="shared" si="6"/>
        <v>-17454.545454545456</v>
      </c>
      <c r="J50" s="6">
        <f t="shared" si="6"/>
        <v>-17454.545454545456</v>
      </c>
      <c r="K50" s="6">
        <f t="shared" si="6"/>
        <v>-17454.545454545456</v>
      </c>
      <c r="L50" s="6">
        <f t="shared" si="6"/>
        <v>-17454.545454545456</v>
      </c>
      <c r="M50" s="6">
        <f t="shared" si="6"/>
        <v>-17454.545454545456</v>
      </c>
    </row>
    <row r="51" spans="1:15" s="29" customFormat="1" ht="14">
      <c r="A51" s="217" t="s">
        <v>150</v>
      </c>
      <c r="B51" s="218" t="s">
        <v>17</v>
      </c>
      <c r="D51" s="6">
        <f>+$C$7*12*$C$2</f>
        <v>-180000</v>
      </c>
      <c r="E51" s="6">
        <f t="shared" ref="E51:M51" si="7">+$C$7*12*$C$2</f>
        <v>-180000</v>
      </c>
      <c r="F51" s="6">
        <f t="shared" si="7"/>
        <v>-180000</v>
      </c>
      <c r="G51" s="6">
        <f t="shared" si="7"/>
        <v>-180000</v>
      </c>
      <c r="H51" s="6">
        <f t="shared" si="7"/>
        <v>-180000</v>
      </c>
      <c r="I51" s="6">
        <f t="shared" si="7"/>
        <v>-180000</v>
      </c>
      <c r="J51" s="6">
        <f t="shared" si="7"/>
        <v>-180000</v>
      </c>
      <c r="K51" s="6">
        <f t="shared" si="7"/>
        <v>-180000</v>
      </c>
      <c r="L51" s="6">
        <f t="shared" si="7"/>
        <v>-180000</v>
      </c>
      <c r="M51" s="6">
        <f t="shared" si="7"/>
        <v>-180000</v>
      </c>
    </row>
    <row r="52" spans="1:15" s="29" customFormat="1" ht="14">
      <c r="A52" s="217" t="s">
        <v>164</v>
      </c>
      <c r="B52" s="218" t="s">
        <v>17</v>
      </c>
      <c r="D52" s="6">
        <f>$C$6*$C$5*$C$2*12</f>
        <v>0</v>
      </c>
      <c r="E52" s="6">
        <f t="shared" ref="E52:M52" si="8">$C$6*$C$5*$C$2*12</f>
        <v>0</v>
      </c>
      <c r="F52" s="6">
        <f t="shared" si="8"/>
        <v>0</v>
      </c>
      <c r="G52" s="6">
        <f t="shared" si="8"/>
        <v>0</v>
      </c>
      <c r="H52" s="6">
        <f t="shared" si="8"/>
        <v>0</v>
      </c>
      <c r="I52" s="6">
        <f t="shared" si="8"/>
        <v>0</v>
      </c>
      <c r="J52" s="6">
        <f t="shared" si="8"/>
        <v>0</v>
      </c>
      <c r="K52" s="6">
        <f t="shared" si="8"/>
        <v>0</v>
      </c>
      <c r="L52" s="6">
        <f t="shared" si="8"/>
        <v>0</v>
      </c>
      <c r="M52" s="6">
        <f t="shared" si="8"/>
        <v>0</v>
      </c>
    </row>
    <row r="53" spans="1:15" s="29" customFormat="1" ht="14">
      <c r="A53" s="217" t="s">
        <v>182</v>
      </c>
      <c r="B53" s="218" t="s">
        <v>17</v>
      </c>
      <c r="D53" s="6">
        <f>$C$9*12</f>
        <v>0</v>
      </c>
      <c r="E53" s="6">
        <f t="shared" ref="E53:M53" si="9">$C$9*12</f>
        <v>0</v>
      </c>
      <c r="F53" s="6">
        <f t="shared" si="9"/>
        <v>0</v>
      </c>
      <c r="G53" s="6">
        <f t="shared" si="9"/>
        <v>0</v>
      </c>
      <c r="H53" s="6">
        <f t="shared" si="9"/>
        <v>0</v>
      </c>
      <c r="I53" s="6">
        <f t="shared" si="9"/>
        <v>0</v>
      </c>
      <c r="J53" s="6">
        <f t="shared" si="9"/>
        <v>0</v>
      </c>
      <c r="K53" s="6">
        <f t="shared" si="9"/>
        <v>0</v>
      </c>
      <c r="L53" s="6">
        <f t="shared" si="9"/>
        <v>0</v>
      </c>
      <c r="M53" s="6">
        <f t="shared" si="9"/>
        <v>0</v>
      </c>
    </row>
    <row r="54" spans="1:15" s="187" customFormat="1" ht="14">
      <c r="A54" s="196" t="s">
        <v>127</v>
      </c>
      <c r="B54" s="191" t="s">
        <v>17</v>
      </c>
      <c r="D54" s="188">
        <f>SUM(D41:D52)</f>
        <v>567992.72017045459</v>
      </c>
      <c r="E54" s="188">
        <f t="shared" ref="E54:M54" si="10">SUM(E41:E52)</f>
        <v>-252007.27982954547</v>
      </c>
      <c r="F54" s="188">
        <f t="shared" si="10"/>
        <v>-252007.27982954547</v>
      </c>
      <c r="G54" s="188">
        <f t="shared" si="10"/>
        <v>-252007.27982954547</v>
      </c>
      <c r="H54" s="188">
        <f t="shared" si="10"/>
        <v>-252007.27982954547</v>
      </c>
      <c r="I54" s="188">
        <f t="shared" si="10"/>
        <v>-252007.27982954547</v>
      </c>
      <c r="J54" s="188">
        <f t="shared" si="10"/>
        <v>-252007.27982954547</v>
      </c>
      <c r="K54" s="188">
        <f t="shared" si="10"/>
        <v>-252007.27982954547</v>
      </c>
      <c r="L54" s="188">
        <f t="shared" si="10"/>
        <v>-252007.27982954547</v>
      </c>
      <c r="M54" s="188">
        <f t="shared" si="10"/>
        <v>-252007.27982954547</v>
      </c>
    </row>
    <row r="55" spans="1:15" s="4" customFormat="1" thickBot="1">
      <c r="A55" s="4" t="s">
        <v>125</v>
      </c>
      <c r="D55" s="4">
        <f>$C$10*$C$2*12</f>
        <v>1819818</v>
      </c>
      <c r="E55" s="4">
        <f t="shared" ref="E55:M55" si="11">$C$10*$C$2*12</f>
        <v>1819818</v>
      </c>
      <c r="F55" s="4">
        <f t="shared" si="11"/>
        <v>1819818</v>
      </c>
      <c r="G55" s="4">
        <f t="shared" si="11"/>
        <v>1819818</v>
      </c>
      <c r="H55" s="4">
        <f t="shared" si="11"/>
        <v>1819818</v>
      </c>
      <c r="I55" s="4">
        <f t="shared" si="11"/>
        <v>1819818</v>
      </c>
      <c r="J55" s="4">
        <f t="shared" si="11"/>
        <v>1819818</v>
      </c>
      <c r="K55" s="4">
        <f t="shared" si="11"/>
        <v>1819818</v>
      </c>
      <c r="L55" s="4">
        <f t="shared" si="11"/>
        <v>1819818</v>
      </c>
      <c r="M55" s="4">
        <f t="shared" si="11"/>
        <v>1819818</v>
      </c>
    </row>
    <row r="56" spans="1:15" s="170" customFormat="1" thickBot="1">
      <c r="A56" s="170" t="s">
        <v>126</v>
      </c>
      <c r="D56" s="171">
        <f>D55+D54</f>
        <v>2387810.7201704546</v>
      </c>
      <c r="E56" s="171">
        <f t="shared" ref="E56:M56" si="12">E55+E54</f>
        <v>1567810.7201704546</v>
      </c>
      <c r="F56" s="171">
        <f t="shared" si="12"/>
        <v>1567810.7201704546</v>
      </c>
      <c r="G56" s="171">
        <f t="shared" si="12"/>
        <v>1567810.7201704546</v>
      </c>
      <c r="H56" s="171">
        <f t="shared" si="12"/>
        <v>1567810.7201704546</v>
      </c>
      <c r="I56" s="171">
        <f t="shared" si="12"/>
        <v>1567810.7201704546</v>
      </c>
      <c r="J56" s="171">
        <f t="shared" si="12"/>
        <v>1567810.7201704546</v>
      </c>
      <c r="K56" s="171">
        <f t="shared" si="12"/>
        <v>1567810.7201704546</v>
      </c>
      <c r="L56" s="171">
        <f t="shared" si="12"/>
        <v>1567810.7201704546</v>
      </c>
      <c r="M56" s="171">
        <f t="shared" si="12"/>
        <v>1567810.7201704546</v>
      </c>
    </row>
    <row r="57" spans="1:15" s="29" customFormat="1" ht="14">
      <c r="C57" s="29">
        <v>0</v>
      </c>
      <c r="D57" s="29">
        <v>1</v>
      </c>
      <c r="E57" s="29">
        <v>2</v>
      </c>
      <c r="F57" s="29">
        <v>3</v>
      </c>
      <c r="G57" s="29">
        <v>4</v>
      </c>
      <c r="H57" s="29">
        <v>5</v>
      </c>
      <c r="I57" s="29">
        <v>6</v>
      </c>
      <c r="J57" s="29">
        <v>7</v>
      </c>
      <c r="K57" s="29">
        <v>8</v>
      </c>
      <c r="L57" s="29">
        <v>9</v>
      </c>
      <c r="M57" s="29">
        <v>10</v>
      </c>
    </row>
    <row r="58" spans="1:15" s="29" customFormat="1" ht="14">
      <c r="D58" s="195">
        <f>(D56)/(1+$C$13)^D57</f>
        <v>2131973.8572950484</v>
      </c>
      <c r="E58" s="195">
        <f t="shared" ref="E58:M58" si="13">(E56)/(1+$C$13)^E57</f>
        <v>1249849.1072787424</v>
      </c>
      <c r="F58" s="195">
        <f t="shared" si="13"/>
        <v>1115936.7029274483</v>
      </c>
      <c r="G58" s="195">
        <f t="shared" si="13"/>
        <v>996372.05618522177</v>
      </c>
      <c r="H58" s="195">
        <f t="shared" si="13"/>
        <v>889617.90730823367</v>
      </c>
      <c r="I58" s="195">
        <f t="shared" si="13"/>
        <v>794301.70295377995</v>
      </c>
      <c r="J58" s="195">
        <f t="shared" si="13"/>
        <v>709197.94906587491</v>
      </c>
      <c r="K58" s="195">
        <f t="shared" si="13"/>
        <v>633212.45452310261</v>
      </c>
      <c r="L58" s="195">
        <f t="shared" si="13"/>
        <v>565368.2629670559</v>
      </c>
      <c r="M58" s="195">
        <f t="shared" si="13"/>
        <v>504793.09193487128</v>
      </c>
    </row>
    <row r="59" spans="1:15" s="29" customFormat="1" thickBot="1"/>
    <row r="60" spans="1:15" ht="16" thickBot="1">
      <c r="C60" s="216" t="s">
        <v>131</v>
      </c>
      <c r="D60" s="239">
        <f>SUM(D58:M58)-C41</f>
        <v>9590623.0924393795</v>
      </c>
    </row>
    <row r="62" spans="1:15" ht="18">
      <c r="A62" s="189" t="s">
        <v>154</v>
      </c>
    </row>
    <row r="63" spans="1:15" s="4" customFormat="1" ht="14">
      <c r="A63" s="11" t="s">
        <v>21</v>
      </c>
      <c r="B63" s="6" t="s">
        <v>16</v>
      </c>
      <c r="C63" s="6" t="s">
        <v>45</v>
      </c>
      <c r="D63" s="6" t="s">
        <v>46</v>
      </c>
      <c r="E63" s="6" t="s">
        <v>47</v>
      </c>
      <c r="F63" s="6" t="s">
        <v>48</v>
      </c>
      <c r="G63" s="6" t="s">
        <v>49</v>
      </c>
      <c r="H63" s="6" t="s">
        <v>50</v>
      </c>
      <c r="I63" s="6" t="s">
        <v>51</v>
      </c>
      <c r="J63" s="6" t="s">
        <v>52</v>
      </c>
      <c r="K63" s="6" t="s">
        <v>53</v>
      </c>
      <c r="L63" s="6" t="s">
        <v>54</v>
      </c>
      <c r="M63" s="6" t="s">
        <v>55</v>
      </c>
      <c r="N63" s="6" t="s">
        <v>56</v>
      </c>
      <c r="O63" s="6" t="s">
        <v>57</v>
      </c>
    </row>
    <row r="64" spans="1:15" s="4" customFormat="1" ht="14">
      <c r="A64" s="4" t="s">
        <v>61</v>
      </c>
      <c r="B64" s="6" t="s">
        <v>17</v>
      </c>
      <c r="C64" s="6">
        <v>0</v>
      </c>
      <c r="D64" s="6"/>
      <c r="E64" s="6"/>
      <c r="F64" s="6"/>
      <c r="G64" s="6"/>
      <c r="H64" s="6"/>
      <c r="I64" s="6"/>
      <c r="J64" s="6"/>
      <c r="K64" s="6"/>
      <c r="L64" s="6"/>
      <c r="M64" s="6"/>
    </row>
    <row r="65" spans="1:15" s="4" customFormat="1" ht="14">
      <c r="A65" s="4" t="s">
        <v>59</v>
      </c>
      <c r="B65" s="6" t="s">
        <v>17</v>
      </c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</row>
    <row r="66" spans="1:15" s="4" customFormat="1" ht="14">
      <c r="A66" s="220" t="s">
        <v>60</v>
      </c>
      <c r="B66" s="221" t="s">
        <v>17</v>
      </c>
      <c r="C66" s="6"/>
      <c r="D66" s="6"/>
      <c r="E66" s="6"/>
      <c r="F66" s="6"/>
      <c r="G66" s="6"/>
      <c r="H66" s="6"/>
      <c r="I66" s="6">
        <f>0.35*$C$2*$C$3</f>
        <v>-2870000</v>
      </c>
      <c r="J66" s="6"/>
      <c r="K66" s="6"/>
      <c r="L66" s="6"/>
      <c r="M66" s="6"/>
    </row>
    <row r="67" spans="1:15" s="4" customFormat="1" ht="14">
      <c r="A67" s="217" t="s">
        <v>145</v>
      </c>
      <c r="B67" s="218" t="s">
        <v>17</v>
      </c>
      <c r="C67" s="6"/>
      <c r="D67" s="6">
        <v>0</v>
      </c>
      <c r="E67" s="6">
        <v>0</v>
      </c>
      <c r="F67" s="6">
        <v>0</v>
      </c>
      <c r="G67" s="6">
        <v>0</v>
      </c>
      <c r="H67" s="6">
        <v>0</v>
      </c>
      <c r="I67" s="6">
        <v>0</v>
      </c>
      <c r="J67" s="6">
        <v>0</v>
      </c>
      <c r="K67" s="6">
        <v>0</v>
      </c>
      <c r="L67" s="6">
        <v>0</v>
      </c>
      <c r="M67" s="6">
        <v>0</v>
      </c>
      <c r="N67" s="6">
        <v>0</v>
      </c>
      <c r="O67" s="6">
        <v>0</v>
      </c>
    </row>
    <row r="68" spans="1:15" s="5" customFormat="1" ht="14">
      <c r="A68" s="217" t="s">
        <v>120</v>
      </c>
      <c r="B68" s="218" t="s">
        <v>17</v>
      </c>
      <c r="C68" s="7"/>
      <c r="D68" s="6">
        <f>-'Costos Unitarios'!$E$16*12*$C$2</f>
        <v>1406250</v>
      </c>
      <c r="E68" s="6">
        <f>-'Costos Unitarios'!$E$16*12*$C$2</f>
        <v>1406250</v>
      </c>
      <c r="F68" s="6">
        <f>-'Costos Unitarios'!$E$16*12*$C$2</f>
        <v>1406250</v>
      </c>
      <c r="G68" s="6">
        <f>-'Costos Unitarios'!$E$16*12*$C$2</f>
        <v>1406250</v>
      </c>
      <c r="H68" s="6">
        <f>-'Costos Unitarios'!$E$16*12*$C$2</f>
        <v>1406250</v>
      </c>
      <c r="I68" s="6">
        <f>-'Costos Unitarios'!$E$16*12*$C$2</f>
        <v>1406250</v>
      </c>
      <c r="J68" s="6">
        <f>-'Costos Unitarios'!$E$16*12*$C$2</f>
        <v>1406250</v>
      </c>
      <c r="K68" s="6">
        <f>-'Costos Unitarios'!$E$16*12*$C$2</f>
        <v>1406250</v>
      </c>
      <c r="L68" s="6">
        <f>-'Costos Unitarios'!$E$16*12*$C$2</f>
        <v>1406250</v>
      </c>
      <c r="M68" s="6">
        <f>-'Costos Unitarios'!$E$16*12*$C$2</f>
        <v>1406250</v>
      </c>
      <c r="N68" s="6">
        <f>-'Costos Unitarios'!$E$16*12*$C$2</f>
        <v>1406250</v>
      </c>
      <c r="O68" s="6">
        <f>-'Costos Unitarios'!$E$16*12*$C$2</f>
        <v>1406250</v>
      </c>
    </row>
    <row r="69" spans="1:15" s="5" customFormat="1" ht="14">
      <c r="A69" s="217" t="s">
        <v>121</v>
      </c>
      <c r="B69" s="218" t="s">
        <v>17</v>
      </c>
      <c r="C69" s="7"/>
      <c r="D69" s="6">
        <f>-'Costos Unitarios'!$D$22*'Híbrido DELTA'!$C$2</f>
        <v>-1231650</v>
      </c>
      <c r="E69" s="6">
        <f>-'Costos Unitarios'!$D$22*'Híbrido DELTA'!$C$2</f>
        <v>-1231650</v>
      </c>
      <c r="F69" s="6">
        <f>-'Costos Unitarios'!$D$22*'Híbrido DELTA'!$C$2</f>
        <v>-1231650</v>
      </c>
      <c r="G69" s="6">
        <f>-'Costos Unitarios'!$D$22*'Híbrido DELTA'!$C$2</f>
        <v>-1231650</v>
      </c>
      <c r="H69" s="6">
        <f>-'Costos Unitarios'!$D$22*'Híbrido DELTA'!$C$2</f>
        <v>-1231650</v>
      </c>
      <c r="I69" s="6">
        <f>-'Costos Unitarios'!$D$22*'Híbrido DELTA'!$C$2</f>
        <v>-1231650</v>
      </c>
      <c r="J69" s="6">
        <f>-'Costos Unitarios'!$D$22*'Híbrido DELTA'!$C$2</f>
        <v>-1231650</v>
      </c>
      <c r="K69" s="6">
        <f>-'Costos Unitarios'!$D$22*'Híbrido DELTA'!$C$2</f>
        <v>-1231650</v>
      </c>
      <c r="L69" s="6">
        <f>-'Costos Unitarios'!$D$22*'Híbrido DELTA'!$C$2</f>
        <v>-1231650</v>
      </c>
      <c r="M69" s="6">
        <f>-'Costos Unitarios'!$D$22*'Híbrido DELTA'!$C$2</f>
        <v>-1231650</v>
      </c>
      <c r="N69" s="6">
        <f>-'Costos Unitarios'!$D$22*'Híbrido DELTA'!$C$2</f>
        <v>-1231650</v>
      </c>
      <c r="O69" s="6">
        <f>-'Costos Unitarios'!$D$22*'Híbrido DELTA'!$C$2</f>
        <v>-1231650</v>
      </c>
    </row>
    <row r="70" spans="1:15" s="5" customFormat="1" ht="14">
      <c r="A70" s="217" t="s">
        <v>122</v>
      </c>
      <c r="B70" s="218" t="s">
        <v>17</v>
      </c>
      <c r="C70" s="7"/>
      <c r="D70" s="6">
        <f>-'Costos Unitarios'!$E$26*$C$2*12</f>
        <v>67634.765625</v>
      </c>
      <c r="E70" s="6">
        <f>-'Costos Unitarios'!$E$26*$C$2*12</f>
        <v>67634.765625</v>
      </c>
      <c r="F70" s="6">
        <f>-'Costos Unitarios'!$E$26*$C$2*12</f>
        <v>67634.765625</v>
      </c>
      <c r="G70" s="6">
        <f>-'Costos Unitarios'!$E$26*$C$2*12</f>
        <v>67634.765625</v>
      </c>
      <c r="H70" s="6">
        <f>-'Costos Unitarios'!$E$26*$C$2*12</f>
        <v>67634.765625</v>
      </c>
      <c r="I70" s="6">
        <f>-'Costos Unitarios'!$E$26*$C$2*12</f>
        <v>67634.765625</v>
      </c>
      <c r="J70" s="6">
        <f>-'Costos Unitarios'!$E$26*$C$2*12</f>
        <v>67634.765625</v>
      </c>
      <c r="K70" s="6">
        <f>-'Costos Unitarios'!$E$26*$C$2*12</f>
        <v>67634.765625</v>
      </c>
      <c r="L70" s="6">
        <f>-'Costos Unitarios'!$E$26*$C$2*12</f>
        <v>67634.765625</v>
      </c>
      <c r="M70" s="6">
        <f>-'Costos Unitarios'!$E$26*$C$2*12</f>
        <v>67634.765625</v>
      </c>
      <c r="N70" s="6">
        <f>-'Costos Unitarios'!$E$26*$C$2*12</f>
        <v>67634.765625</v>
      </c>
      <c r="O70" s="6">
        <f>-'Costos Unitarios'!$E$26*$C$2*12</f>
        <v>67634.765625</v>
      </c>
    </row>
    <row r="71" spans="1:15" s="5" customFormat="1" ht="14">
      <c r="A71" s="217" t="s">
        <v>123</v>
      </c>
      <c r="B71" s="218" t="s">
        <v>17</v>
      </c>
      <c r="C71" s="7"/>
      <c r="D71" s="6">
        <f>-'Costos Unitarios'!$E$31*$C$2*12</f>
        <v>111562.5</v>
      </c>
      <c r="E71" s="6">
        <f>-'Costos Unitarios'!$E$31*$C$2*12</f>
        <v>111562.5</v>
      </c>
      <c r="F71" s="6">
        <f>-'Costos Unitarios'!$E$31*$C$2*12</f>
        <v>111562.5</v>
      </c>
      <c r="G71" s="6">
        <f>-'Costos Unitarios'!$E$31*$C$2*12</f>
        <v>111562.5</v>
      </c>
      <c r="H71" s="6">
        <f>-'Costos Unitarios'!$E$31*$C$2*12</f>
        <v>111562.5</v>
      </c>
      <c r="I71" s="6">
        <f>-'Costos Unitarios'!$E$31*$C$2*12</f>
        <v>111562.5</v>
      </c>
      <c r="J71" s="6">
        <f>-'Costos Unitarios'!$E$31*$C$2*12</f>
        <v>111562.5</v>
      </c>
      <c r="K71" s="6">
        <f>-'Costos Unitarios'!$E$31*$C$2*12</f>
        <v>111562.5</v>
      </c>
      <c r="L71" s="6">
        <f>-'Costos Unitarios'!$E$31*$C$2*12</f>
        <v>111562.5</v>
      </c>
      <c r="M71" s="6">
        <f>-'Costos Unitarios'!$E$31*$C$2*12</f>
        <v>111562.5</v>
      </c>
      <c r="N71" s="6">
        <f>-'Costos Unitarios'!$E$31*$C$2*12</f>
        <v>111562.5</v>
      </c>
      <c r="O71" s="6">
        <f>-'Costos Unitarios'!$E$31*$C$2*12</f>
        <v>111562.5</v>
      </c>
    </row>
    <row r="72" spans="1:15" s="18" customFormat="1" ht="14">
      <c r="A72" s="217" t="s">
        <v>168</v>
      </c>
      <c r="B72" s="219" t="s">
        <v>17</v>
      </c>
      <c r="C72" s="7"/>
      <c r="D72" s="197">
        <f>-'Costos Unitarios'!$E$35*12*$C$2</f>
        <v>-1640000</v>
      </c>
      <c r="E72" s="197">
        <f>-'Costos Unitarios'!$E$35*12*$C$2</f>
        <v>-1640000</v>
      </c>
      <c r="F72" s="197">
        <f>-'Costos Unitarios'!$E$35*12*$C$2</f>
        <v>-1640000</v>
      </c>
      <c r="G72" s="197">
        <f>-'Costos Unitarios'!$E$35*12*$C$2</f>
        <v>-1640000</v>
      </c>
      <c r="H72" s="197">
        <f>-'Costos Unitarios'!$E$35*12*$C$2</f>
        <v>-1640000</v>
      </c>
      <c r="I72" s="197">
        <f>-'Costos Unitarios'!$E$35*12*$C$2</f>
        <v>-1640000</v>
      </c>
      <c r="J72" s="197">
        <f>-'Costos Unitarios'!$E$35*12*$C$2</f>
        <v>-1640000</v>
      </c>
      <c r="K72" s="197">
        <f>-'Costos Unitarios'!$E$35*12*$C$2</f>
        <v>-1640000</v>
      </c>
      <c r="L72" s="197">
        <f>-'Costos Unitarios'!$E$35*12*$C$2</f>
        <v>-1640000</v>
      </c>
      <c r="M72" s="197">
        <f>-'Costos Unitarios'!$E$35*12*$C$2</f>
        <v>-1640000</v>
      </c>
      <c r="N72" s="197">
        <f>-'Costos Unitarios'!$E$35*12*$C$2</f>
        <v>-1640000</v>
      </c>
      <c r="O72" s="197">
        <f>-'Costos Unitarios'!$E$35*12*$C$2</f>
        <v>-1640000</v>
      </c>
    </row>
    <row r="73" spans="1:15" s="29" customFormat="1" ht="14">
      <c r="A73" s="217" t="s">
        <v>167</v>
      </c>
      <c r="B73" s="218" t="s">
        <v>17</v>
      </c>
      <c r="D73" s="6">
        <f t="shared" ref="D73:O73" si="14">-$C$8*12</f>
        <v>-17454.545454545456</v>
      </c>
      <c r="E73" s="6">
        <f t="shared" si="14"/>
        <v>-17454.545454545456</v>
      </c>
      <c r="F73" s="6">
        <f t="shared" si="14"/>
        <v>-17454.545454545456</v>
      </c>
      <c r="G73" s="6">
        <f t="shared" si="14"/>
        <v>-17454.545454545456</v>
      </c>
      <c r="H73" s="6">
        <f t="shared" si="14"/>
        <v>-17454.545454545456</v>
      </c>
      <c r="I73" s="6">
        <f t="shared" si="14"/>
        <v>-17454.545454545456</v>
      </c>
      <c r="J73" s="6">
        <f t="shared" si="14"/>
        <v>-17454.545454545456</v>
      </c>
      <c r="K73" s="6">
        <f t="shared" si="14"/>
        <v>-17454.545454545456</v>
      </c>
      <c r="L73" s="6">
        <f t="shared" si="14"/>
        <v>-17454.545454545456</v>
      </c>
      <c r="M73" s="6">
        <f t="shared" si="14"/>
        <v>-17454.545454545456</v>
      </c>
      <c r="N73" s="6">
        <f t="shared" si="14"/>
        <v>-17454.545454545456</v>
      </c>
      <c r="O73" s="6">
        <f t="shared" si="14"/>
        <v>-17454.545454545456</v>
      </c>
    </row>
    <row r="74" spans="1:15" s="29" customFormat="1" ht="14">
      <c r="A74" s="217" t="s">
        <v>150</v>
      </c>
      <c r="B74" s="218" t="s">
        <v>17</v>
      </c>
      <c r="D74" s="6">
        <f t="shared" ref="D74:O74" si="15">+$C$7*12*$C$2</f>
        <v>-180000</v>
      </c>
      <c r="E74" s="6">
        <f t="shared" si="15"/>
        <v>-180000</v>
      </c>
      <c r="F74" s="6">
        <f t="shared" si="15"/>
        <v>-180000</v>
      </c>
      <c r="G74" s="6">
        <f t="shared" si="15"/>
        <v>-180000</v>
      </c>
      <c r="H74" s="6">
        <f t="shared" si="15"/>
        <v>-180000</v>
      </c>
      <c r="I74" s="6">
        <f t="shared" si="15"/>
        <v>-180000</v>
      </c>
      <c r="J74" s="6">
        <f t="shared" si="15"/>
        <v>-180000</v>
      </c>
      <c r="K74" s="6">
        <f t="shared" si="15"/>
        <v>-180000</v>
      </c>
      <c r="L74" s="6">
        <f t="shared" si="15"/>
        <v>-180000</v>
      </c>
      <c r="M74" s="6">
        <f t="shared" si="15"/>
        <v>-180000</v>
      </c>
      <c r="N74" s="6">
        <f t="shared" si="15"/>
        <v>-180000</v>
      </c>
      <c r="O74" s="6">
        <f t="shared" si="15"/>
        <v>-180000</v>
      </c>
    </row>
    <row r="75" spans="1:15" s="29" customFormat="1" ht="14">
      <c r="A75" s="217" t="s">
        <v>164</v>
      </c>
      <c r="B75" s="218" t="s">
        <v>17</v>
      </c>
      <c r="D75" s="6">
        <f t="shared" ref="D75:O75" si="16">$C$6*$C$5*$C$2*12</f>
        <v>0</v>
      </c>
      <c r="E75" s="6">
        <f t="shared" si="16"/>
        <v>0</v>
      </c>
      <c r="F75" s="6">
        <f t="shared" si="16"/>
        <v>0</v>
      </c>
      <c r="G75" s="6">
        <f t="shared" si="16"/>
        <v>0</v>
      </c>
      <c r="H75" s="6">
        <f t="shared" si="16"/>
        <v>0</v>
      </c>
      <c r="I75" s="6">
        <f t="shared" si="16"/>
        <v>0</v>
      </c>
      <c r="J75" s="6">
        <f t="shared" si="16"/>
        <v>0</v>
      </c>
      <c r="K75" s="6">
        <f t="shared" si="16"/>
        <v>0</v>
      </c>
      <c r="L75" s="6">
        <f t="shared" si="16"/>
        <v>0</v>
      </c>
      <c r="M75" s="6">
        <f t="shared" si="16"/>
        <v>0</v>
      </c>
      <c r="N75" s="6">
        <f t="shared" si="16"/>
        <v>0</v>
      </c>
      <c r="O75" s="6">
        <f t="shared" si="16"/>
        <v>0</v>
      </c>
    </row>
    <row r="76" spans="1:15" s="29" customFormat="1" ht="14">
      <c r="A76" s="217" t="s">
        <v>182</v>
      </c>
      <c r="B76" s="218" t="s">
        <v>17</v>
      </c>
      <c r="D76" s="6">
        <f t="shared" ref="D76:O76" si="17">$C$9*12</f>
        <v>0</v>
      </c>
      <c r="E76" s="6">
        <f t="shared" si="17"/>
        <v>0</v>
      </c>
      <c r="F76" s="6">
        <f t="shared" si="17"/>
        <v>0</v>
      </c>
      <c r="G76" s="6">
        <f t="shared" si="17"/>
        <v>0</v>
      </c>
      <c r="H76" s="6">
        <f t="shared" si="17"/>
        <v>0</v>
      </c>
      <c r="I76" s="6">
        <f t="shared" si="17"/>
        <v>0</v>
      </c>
      <c r="J76" s="6">
        <f t="shared" si="17"/>
        <v>0</v>
      </c>
      <c r="K76" s="6">
        <f t="shared" si="17"/>
        <v>0</v>
      </c>
      <c r="L76" s="6">
        <f t="shared" si="17"/>
        <v>0</v>
      </c>
      <c r="M76" s="6">
        <f t="shared" si="17"/>
        <v>0</v>
      </c>
      <c r="N76" s="6">
        <f t="shared" si="17"/>
        <v>0</v>
      </c>
      <c r="O76" s="6">
        <f t="shared" si="17"/>
        <v>0</v>
      </c>
    </row>
    <row r="77" spans="1:15" s="187" customFormat="1" ht="14">
      <c r="A77" s="196" t="s">
        <v>127</v>
      </c>
      <c r="B77" s="191" t="s">
        <v>17</v>
      </c>
      <c r="D77" s="188">
        <f t="shared" ref="D77:O77" si="18">SUM(D64:D75)</f>
        <v>-1483657.2798295454</v>
      </c>
      <c r="E77" s="188">
        <f t="shared" si="18"/>
        <v>-1483657.2798295454</v>
      </c>
      <c r="F77" s="188">
        <f t="shared" si="18"/>
        <v>-1483657.2798295454</v>
      </c>
      <c r="G77" s="188">
        <f t="shared" si="18"/>
        <v>-1483657.2798295454</v>
      </c>
      <c r="H77" s="188">
        <f t="shared" si="18"/>
        <v>-1483657.2798295454</v>
      </c>
      <c r="I77" s="188">
        <f t="shared" si="18"/>
        <v>-4353657.2798295449</v>
      </c>
      <c r="J77" s="188">
        <f t="shared" si="18"/>
        <v>-1483657.2798295454</v>
      </c>
      <c r="K77" s="188">
        <f t="shared" si="18"/>
        <v>-1483657.2798295454</v>
      </c>
      <c r="L77" s="188">
        <f t="shared" si="18"/>
        <v>-1483657.2798295454</v>
      </c>
      <c r="M77" s="188">
        <f t="shared" si="18"/>
        <v>-1483657.2798295454</v>
      </c>
      <c r="N77" s="188">
        <f t="shared" si="18"/>
        <v>-1483657.2798295454</v>
      </c>
      <c r="O77" s="188">
        <f t="shared" si="18"/>
        <v>-1483657.2798295454</v>
      </c>
    </row>
    <row r="78" spans="1:15" s="4" customFormat="1" thickBot="1">
      <c r="A78" s="4" t="s">
        <v>125</v>
      </c>
      <c r="D78" s="4">
        <f t="shared" ref="D78:O78" si="19">$C$10*$C$2*12</f>
        <v>1819818</v>
      </c>
      <c r="E78" s="4">
        <f t="shared" si="19"/>
        <v>1819818</v>
      </c>
      <c r="F78" s="4">
        <f t="shared" si="19"/>
        <v>1819818</v>
      </c>
      <c r="G78" s="4">
        <f t="shared" si="19"/>
        <v>1819818</v>
      </c>
      <c r="H78" s="4">
        <f t="shared" si="19"/>
        <v>1819818</v>
      </c>
      <c r="I78" s="4">
        <f t="shared" si="19"/>
        <v>1819818</v>
      </c>
      <c r="J78" s="4">
        <f t="shared" si="19"/>
        <v>1819818</v>
      </c>
      <c r="K78" s="4">
        <f t="shared" si="19"/>
        <v>1819818</v>
      </c>
      <c r="L78" s="4">
        <f t="shared" si="19"/>
        <v>1819818</v>
      </c>
      <c r="M78" s="4">
        <f t="shared" si="19"/>
        <v>1819818</v>
      </c>
      <c r="N78" s="4">
        <f t="shared" si="19"/>
        <v>1819818</v>
      </c>
      <c r="O78" s="4">
        <f t="shared" si="19"/>
        <v>1819818</v>
      </c>
    </row>
    <row r="79" spans="1:15" s="170" customFormat="1" thickBot="1">
      <c r="A79" s="170" t="s">
        <v>126</v>
      </c>
      <c r="D79" s="171">
        <f t="shared" ref="D79:O79" si="20">D78+D77</f>
        <v>336160.72017045459</v>
      </c>
      <c r="E79" s="171">
        <f t="shared" si="20"/>
        <v>336160.72017045459</v>
      </c>
      <c r="F79" s="171">
        <f t="shared" si="20"/>
        <v>336160.72017045459</v>
      </c>
      <c r="G79" s="171">
        <f t="shared" si="20"/>
        <v>336160.72017045459</v>
      </c>
      <c r="H79" s="171">
        <f t="shared" si="20"/>
        <v>336160.72017045459</v>
      </c>
      <c r="I79" s="171">
        <f t="shared" si="20"/>
        <v>-2533839.2798295449</v>
      </c>
      <c r="J79" s="171">
        <f t="shared" si="20"/>
        <v>336160.72017045459</v>
      </c>
      <c r="K79" s="171">
        <f t="shared" si="20"/>
        <v>336160.72017045459</v>
      </c>
      <c r="L79" s="171">
        <f t="shared" si="20"/>
        <v>336160.72017045459</v>
      </c>
      <c r="M79" s="171">
        <f t="shared" si="20"/>
        <v>336160.72017045459</v>
      </c>
      <c r="N79" s="171">
        <f t="shared" si="20"/>
        <v>336160.72017045459</v>
      </c>
      <c r="O79" s="171">
        <f t="shared" si="20"/>
        <v>336160.72017045459</v>
      </c>
    </row>
    <row r="80" spans="1:15" s="29" customFormat="1" ht="14">
      <c r="C80" s="29">
        <v>0</v>
      </c>
      <c r="D80" s="29">
        <v>1</v>
      </c>
      <c r="E80" s="29">
        <v>2</v>
      </c>
      <c r="F80" s="29">
        <v>3</v>
      </c>
      <c r="G80" s="29">
        <v>4</v>
      </c>
      <c r="H80" s="29">
        <v>5</v>
      </c>
      <c r="I80" s="29">
        <v>6</v>
      </c>
      <c r="J80" s="29">
        <v>7</v>
      </c>
      <c r="K80" s="29">
        <v>8</v>
      </c>
      <c r="L80" s="29">
        <v>9</v>
      </c>
      <c r="M80" s="29">
        <v>10</v>
      </c>
      <c r="N80" s="29">
        <v>11</v>
      </c>
      <c r="O80" s="29">
        <v>12</v>
      </c>
    </row>
    <row r="81" spans="3:15" s="195" customFormat="1" ht="14">
      <c r="D81" s="195">
        <f t="shared" ref="D81:O81" si="21">(D79)/(1+$C$13)^D80</f>
        <v>300143.50015219155</v>
      </c>
      <c r="E81" s="195">
        <f t="shared" si="21"/>
        <v>267985.26799302816</v>
      </c>
      <c r="F81" s="195">
        <f t="shared" si="21"/>
        <v>239272.56070806083</v>
      </c>
      <c r="G81" s="195">
        <f t="shared" si="21"/>
        <v>213636.21491791148</v>
      </c>
      <c r="H81" s="195">
        <f t="shared" si="21"/>
        <v>190746.62046242095</v>
      </c>
      <c r="I81" s="195">
        <f t="shared" si="21"/>
        <v>-1283721.8352231772</v>
      </c>
      <c r="J81" s="195">
        <f t="shared" si="21"/>
        <v>152062.03799619013</v>
      </c>
      <c r="K81" s="195">
        <f t="shared" si="21"/>
        <v>135769.67678231263</v>
      </c>
      <c r="L81" s="195">
        <f t="shared" si="21"/>
        <v>121222.9256984934</v>
      </c>
      <c r="M81" s="195">
        <f t="shared" si="21"/>
        <v>108234.75508794053</v>
      </c>
      <c r="N81" s="195">
        <f t="shared" si="21"/>
        <v>96638.174185661177</v>
      </c>
      <c r="O81" s="195">
        <f t="shared" si="21"/>
        <v>86284.084094340345</v>
      </c>
    </row>
    <row r="82" spans="3:15" s="29" customFormat="1" thickBot="1"/>
    <row r="83" spans="3:15" ht="16" thickBot="1">
      <c r="C83" s="216" t="s">
        <v>130</v>
      </c>
      <c r="D83" s="239">
        <f>SUM(D81:O81)-C64</f>
        <v>628273.98285537388</v>
      </c>
    </row>
  </sheetData>
  <pageMargins left="0.75" right="0.75" top="1" bottom="1" header="0.5" footer="0.5"/>
  <pageSetup orientation="portrait" horizontalDpi="4294967292" verticalDpi="4294967292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83"/>
  <sheetViews>
    <sheetView showGridLines="0" workbookViewId="0">
      <selection activeCell="C5" sqref="C5"/>
    </sheetView>
  </sheetViews>
  <sheetFormatPr baseColWidth="10" defaultRowHeight="15" x14ac:dyDescent="0"/>
  <cols>
    <col min="1" max="1" width="41.83203125" customWidth="1"/>
    <col min="2" max="2" width="9" customWidth="1"/>
    <col min="3" max="3" width="12.83203125" bestFit="1" customWidth="1"/>
    <col min="4" max="4" width="13.83203125" bestFit="1" customWidth="1"/>
    <col min="5" max="8" width="12.5" customWidth="1"/>
    <col min="9" max="12" width="12" bestFit="1" customWidth="1"/>
    <col min="13" max="13" width="12.83203125" customWidth="1"/>
    <col min="14" max="15" width="12.5" customWidth="1"/>
  </cols>
  <sheetData>
    <row r="1" spans="1:9" ht="21" thickBot="1">
      <c r="A1" s="27" t="s">
        <v>21</v>
      </c>
    </row>
    <row r="2" spans="1:9" s="29" customFormat="1" thickBot="1">
      <c r="A2" s="29" t="s">
        <v>33</v>
      </c>
      <c r="C2" s="215">
        <v>100</v>
      </c>
    </row>
    <row r="3" spans="1:9" s="29" customFormat="1" ht="14">
      <c r="A3" s="225" t="s">
        <v>58</v>
      </c>
      <c r="B3" s="222" t="s">
        <v>17</v>
      </c>
      <c r="C3" s="229">
        <f>'Costos Unitarios'!D4</f>
        <v>272000</v>
      </c>
      <c r="D3" s="4"/>
      <c r="E3" s="4"/>
      <c r="F3" s="4"/>
      <c r="G3" s="4"/>
      <c r="H3" s="4"/>
      <c r="I3" s="4"/>
    </row>
    <row r="4" spans="1:9" s="29" customFormat="1" ht="14">
      <c r="A4" s="226" t="s">
        <v>162</v>
      </c>
      <c r="B4" s="223" t="s">
        <v>20</v>
      </c>
      <c r="C4" s="230">
        <v>0.06</v>
      </c>
      <c r="D4" s="4"/>
      <c r="E4" s="4"/>
      <c r="F4" s="4"/>
      <c r="G4" s="4"/>
      <c r="H4" s="4"/>
      <c r="I4" s="4"/>
    </row>
    <row r="5" spans="1:9" s="29" customFormat="1" ht="14">
      <c r="A5" s="226" t="s">
        <v>163</v>
      </c>
      <c r="B5" s="223"/>
      <c r="C5" s="231">
        <v>2.91</v>
      </c>
      <c r="D5" s="4"/>
      <c r="E5" s="4"/>
      <c r="F5" s="4"/>
      <c r="G5" s="4"/>
      <c r="H5" s="4"/>
      <c r="I5" s="4"/>
    </row>
    <row r="6" spans="1:9" s="29" customFormat="1" ht="14">
      <c r="A6" s="226" t="s">
        <v>166</v>
      </c>
      <c r="B6" s="223" t="s">
        <v>17</v>
      </c>
      <c r="C6" s="232">
        <v>1200</v>
      </c>
      <c r="D6" s="4"/>
      <c r="E6" s="4"/>
      <c r="F6" s="4"/>
      <c r="G6" s="4"/>
      <c r="H6" s="4"/>
      <c r="I6" s="4"/>
    </row>
    <row r="7" spans="1:9" s="29" customFormat="1" ht="14">
      <c r="A7" s="226" t="s">
        <v>178</v>
      </c>
      <c r="B7" s="223" t="s">
        <v>17</v>
      </c>
      <c r="C7" s="233">
        <v>300</v>
      </c>
      <c r="D7" s="4"/>
      <c r="E7" s="4"/>
      <c r="F7" s="4"/>
      <c r="G7" s="4"/>
      <c r="H7" s="4"/>
      <c r="I7" s="4"/>
    </row>
    <row r="8" spans="1:9" s="29" customFormat="1" ht="14">
      <c r="A8" s="226" t="s">
        <v>179</v>
      </c>
      <c r="B8" s="223" t="s">
        <v>17</v>
      </c>
      <c r="C8" s="234">
        <f>'RRHH y OP Híbrido'!I11/12</f>
        <v>36272.727272727272</v>
      </c>
      <c r="D8" s="4"/>
      <c r="E8" s="4"/>
      <c r="F8" s="4"/>
      <c r="G8" s="4"/>
      <c r="H8" s="4"/>
      <c r="I8" s="4"/>
    </row>
    <row r="9" spans="1:9" s="29" customFormat="1" ht="14">
      <c r="A9" s="226" t="s">
        <v>180</v>
      </c>
      <c r="B9" s="223" t="s">
        <v>17</v>
      </c>
      <c r="C9" s="234">
        <v>18000</v>
      </c>
      <c r="D9" s="4"/>
      <c r="E9" s="4"/>
      <c r="F9" s="4"/>
      <c r="G9" s="4"/>
      <c r="H9" s="4"/>
      <c r="I9" s="4"/>
    </row>
    <row r="10" spans="1:9" s="29" customFormat="1" ht="14">
      <c r="A10" s="226" t="s">
        <v>181</v>
      </c>
      <c r="B10" s="223" t="s">
        <v>17</v>
      </c>
      <c r="C10" s="235">
        <f>168000/12*1.045</f>
        <v>14629.999999999998</v>
      </c>
      <c r="D10" s="4"/>
      <c r="E10" s="4"/>
      <c r="F10" s="4"/>
      <c r="G10" s="4"/>
      <c r="H10" s="4"/>
      <c r="I10" s="4"/>
    </row>
    <row r="11" spans="1:9" s="29" customFormat="1" ht="14">
      <c r="A11" s="227" t="s">
        <v>160</v>
      </c>
      <c r="B11" s="223"/>
      <c r="C11" s="236">
        <v>300</v>
      </c>
      <c r="D11" s="4"/>
      <c r="E11" s="4"/>
      <c r="F11" s="4"/>
      <c r="G11" s="4"/>
      <c r="H11" s="4"/>
      <c r="I11" s="4"/>
    </row>
    <row r="12" spans="1:9" s="29" customFormat="1" ht="14">
      <c r="A12" s="227" t="s">
        <v>161</v>
      </c>
      <c r="B12" s="223" t="s">
        <v>17</v>
      </c>
      <c r="C12" s="237">
        <f>350000/550</f>
        <v>636.36363636363637</v>
      </c>
      <c r="D12" s="4"/>
      <c r="E12" s="4"/>
      <c r="F12" s="4"/>
      <c r="G12" s="4"/>
      <c r="H12" s="4"/>
      <c r="I12" s="4"/>
    </row>
    <row r="13" spans="1:9" s="29" customFormat="1" ht="14">
      <c r="A13" s="228" t="s">
        <v>128</v>
      </c>
      <c r="B13" s="224" t="s">
        <v>20</v>
      </c>
      <c r="C13" s="238">
        <v>0.12</v>
      </c>
      <c r="D13" s="4"/>
      <c r="E13" s="4"/>
      <c r="F13" s="4"/>
      <c r="G13" s="4"/>
      <c r="H13" s="4"/>
      <c r="I13" s="4"/>
    </row>
    <row r="14" spans="1:9" s="29" customFormat="1" ht="14">
      <c r="B14" s="183"/>
      <c r="D14" s="4"/>
      <c r="E14" s="4"/>
      <c r="F14" s="4"/>
      <c r="G14" s="4"/>
      <c r="H14" s="4"/>
      <c r="I14" s="4"/>
    </row>
    <row r="15" spans="1:9" s="29" customFormat="1" ht="14"/>
    <row r="16" spans="1:9" s="29" customFormat="1" ht="18">
      <c r="A16" s="189" t="s">
        <v>151</v>
      </c>
    </row>
    <row r="17" spans="1:8" s="4" customFormat="1" ht="14">
      <c r="A17" s="11" t="s">
        <v>21</v>
      </c>
      <c r="B17" s="6" t="s">
        <v>16</v>
      </c>
      <c r="C17" s="6" t="s">
        <v>45</v>
      </c>
      <c r="D17" s="6" t="s">
        <v>46</v>
      </c>
      <c r="E17" s="6" t="s">
        <v>47</v>
      </c>
      <c r="F17" s="6" t="s">
        <v>48</v>
      </c>
      <c r="G17" s="6" t="s">
        <v>49</v>
      </c>
      <c r="H17" s="6" t="s">
        <v>50</v>
      </c>
    </row>
    <row r="18" spans="1:8" s="4" customFormat="1" ht="14">
      <c r="A18" s="4" t="s">
        <v>61</v>
      </c>
      <c r="B18" s="6" t="s">
        <v>17</v>
      </c>
      <c r="C18" s="6">
        <v>0</v>
      </c>
      <c r="D18" s="6"/>
      <c r="E18" s="6"/>
      <c r="F18" s="6"/>
      <c r="G18" s="6"/>
      <c r="H18" s="6"/>
    </row>
    <row r="19" spans="1:8" s="4" customFormat="1" ht="14">
      <c r="A19" s="4" t="s">
        <v>59</v>
      </c>
      <c r="B19" s="6" t="s">
        <v>17</v>
      </c>
      <c r="C19" s="6"/>
      <c r="D19" s="6"/>
      <c r="E19" s="6"/>
      <c r="F19" s="6"/>
      <c r="G19" s="6"/>
      <c r="H19" s="6"/>
    </row>
    <row r="20" spans="1:8" s="4" customFormat="1" ht="14">
      <c r="A20" s="4" t="s">
        <v>60</v>
      </c>
      <c r="B20" s="6" t="s">
        <v>17</v>
      </c>
      <c r="C20" s="6"/>
      <c r="D20" s="6"/>
      <c r="E20" s="6"/>
      <c r="F20" s="6"/>
      <c r="G20" s="6"/>
      <c r="H20" s="6"/>
    </row>
    <row r="21" spans="1:8" s="4" customFormat="1" ht="14">
      <c r="A21" s="217" t="s">
        <v>145</v>
      </c>
      <c r="B21" s="218" t="s">
        <v>17</v>
      </c>
      <c r="C21" s="6"/>
      <c r="D21" s="6">
        <f>+$C$3*$C$4*$C$2</f>
        <v>1632000</v>
      </c>
      <c r="E21" s="6">
        <f>+($C$3*$C$2-D26)*$C$4</f>
        <v>1305600</v>
      </c>
      <c r="F21" s="6">
        <f>($C$2*$C$3-D26-E26)*$C$4</f>
        <v>979200</v>
      </c>
      <c r="G21" s="6">
        <f>($C$2*$C$3-E26-F26-D26)*$C$4</f>
        <v>652800</v>
      </c>
      <c r="H21" s="6">
        <f>($C$2*$C$3-F26-G26-E26-D26)*$C$4</f>
        <v>326400</v>
      </c>
    </row>
    <row r="22" spans="1:8" s="5" customFormat="1" ht="14">
      <c r="A22" s="217" t="s">
        <v>120</v>
      </c>
      <c r="B22" s="218" t="s">
        <v>17</v>
      </c>
      <c r="C22" s="7"/>
      <c r="D22" s="6">
        <f>'Costos Unitarios'!$D$17*Híbrido!$C$2</f>
        <v>3281250.0000000009</v>
      </c>
      <c r="E22" s="6">
        <f>'Costos Unitarios'!$D$17*Híbrido!$C$2</f>
        <v>3281250.0000000009</v>
      </c>
      <c r="F22" s="6">
        <f>'Costos Unitarios'!$D$17*Híbrido!$C$2</f>
        <v>3281250.0000000009</v>
      </c>
      <c r="G22" s="6">
        <f>'Costos Unitarios'!$D$17*Híbrido!$C$2</f>
        <v>3281250.0000000009</v>
      </c>
      <c r="H22" s="6">
        <f>'Costos Unitarios'!$D$17*Híbrido!$C$2</f>
        <v>3281250.0000000009</v>
      </c>
    </row>
    <row r="23" spans="1:8" s="5" customFormat="1" ht="14">
      <c r="A23" s="217" t="s">
        <v>121</v>
      </c>
      <c r="B23" s="218" t="s">
        <v>17</v>
      </c>
      <c r="C23" s="7"/>
      <c r="D23" s="6">
        <f>'Costos Unitarios'!$D$22*Híbrido!$C$2</f>
        <v>1231650</v>
      </c>
      <c r="E23" s="6">
        <f>'Costos Unitarios'!$D$22*Híbrido!$C$2</f>
        <v>1231650</v>
      </c>
      <c r="F23" s="6">
        <f>'Costos Unitarios'!$D$22*Híbrido!$C$2</f>
        <v>1231650</v>
      </c>
      <c r="G23" s="6">
        <f>'Costos Unitarios'!$D$22*Híbrido!$C$2</f>
        <v>1231650</v>
      </c>
      <c r="H23" s="6">
        <f>'Costos Unitarios'!$D$22*Híbrido!$C$2</f>
        <v>1231650</v>
      </c>
    </row>
    <row r="24" spans="1:8" s="5" customFormat="1" ht="14">
      <c r="A24" s="217" t="s">
        <v>122</v>
      </c>
      <c r="B24" s="218" t="s">
        <v>17</v>
      </c>
      <c r="C24" s="7"/>
      <c r="D24" s="6">
        <f>'Costos Unitarios'!$D$27*Híbrido!$C$2</f>
        <v>157814.453125</v>
      </c>
      <c r="E24" s="6">
        <f>'Costos Unitarios'!$D$27*Híbrido!$C$2</f>
        <v>157814.453125</v>
      </c>
      <c r="F24" s="6">
        <f>'Costos Unitarios'!$D$27*Híbrido!$C$2</f>
        <v>157814.453125</v>
      </c>
      <c r="G24" s="6">
        <f>'Costos Unitarios'!$D$27*Híbrido!$C$2</f>
        <v>157814.453125</v>
      </c>
      <c r="H24" s="6">
        <f>'Costos Unitarios'!$D$27*Híbrido!$C$2</f>
        <v>157814.453125</v>
      </c>
    </row>
    <row r="25" spans="1:8" s="5" customFormat="1" ht="14">
      <c r="A25" s="217" t="s">
        <v>123</v>
      </c>
      <c r="B25" s="218" t="s">
        <v>17</v>
      </c>
      <c r="C25" s="7"/>
      <c r="D25" s="6">
        <f>'Costos Unitarios'!$D$32*Híbrido!$C$2</f>
        <v>1963500</v>
      </c>
      <c r="E25" s="6">
        <f>'Costos Unitarios'!$D$32*Híbrido!$C$2</f>
        <v>1963500</v>
      </c>
      <c r="F25" s="6">
        <f>'Costos Unitarios'!$D$32*Híbrido!$C$2</f>
        <v>1963500</v>
      </c>
      <c r="G25" s="6">
        <f>'Costos Unitarios'!$D$32*Híbrido!$C$2</f>
        <v>1963500</v>
      </c>
      <c r="H25" s="6">
        <f>'Costos Unitarios'!$D$32*Híbrido!$C$2</f>
        <v>1963500</v>
      </c>
    </row>
    <row r="26" spans="1:8" s="18" customFormat="1" ht="14">
      <c r="A26" s="217" t="s">
        <v>124</v>
      </c>
      <c r="B26" s="219" t="s">
        <v>17</v>
      </c>
      <c r="C26" s="7"/>
      <c r="D26" s="197">
        <f>'Costos Unitarios'!$D$36*Híbrido!$C$2</f>
        <v>5440000</v>
      </c>
      <c r="E26" s="197">
        <f>'Costos Unitarios'!$D$36*Híbrido!$C$2</f>
        <v>5440000</v>
      </c>
      <c r="F26" s="197">
        <f>'Costos Unitarios'!$D$36*Híbrido!$C$2</f>
        <v>5440000</v>
      </c>
      <c r="G26" s="197">
        <f>'Costos Unitarios'!$D$36*Híbrido!$C$2</f>
        <v>5440000</v>
      </c>
      <c r="H26" s="197">
        <f>'Costos Unitarios'!$D$36*Híbrido!$C$2</f>
        <v>5440000</v>
      </c>
    </row>
    <row r="27" spans="1:8" s="29" customFormat="1" ht="14">
      <c r="A27" s="217" t="s">
        <v>183</v>
      </c>
      <c r="B27" s="218" t="s">
        <v>17</v>
      </c>
      <c r="D27" s="6">
        <f>'RRHH y OP Híbrido'!$I$11</f>
        <v>435272.72727272729</v>
      </c>
      <c r="E27" s="6">
        <f>$D$27</f>
        <v>435272.72727272729</v>
      </c>
      <c r="F27" s="6">
        <f t="shared" ref="F27:H27" si="0">$D$27</f>
        <v>435272.72727272729</v>
      </c>
      <c r="G27" s="6">
        <f t="shared" si="0"/>
        <v>435272.72727272729</v>
      </c>
      <c r="H27" s="6">
        <f t="shared" si="0"/>
        <v>435272.72727272729</v>
      </c>
    </row>
    <row r="28" spans="1:8" s="29" customFormat="1" ht="14">
      <c r="A28" s="217" t="s">
        <v>150</v>
      </c>
      <c r="B28" s="218" t="s">
        <v>17</v>
      </c>
      <c r="D28" s="6">
        <f>$C$7*$C$2*12</f>
        <v>360000</v>
      </c>
      <c r="E28" s="6">
        <f t="shared" ref="E28:H28" si="1">$C$7*$C$2*12</f>
        <v>360000</v>
      </c>
      <c r="F28" s="6">
        <f t="shared" si="1"/>
        <v>360000</v>
      </c>
      <c r="G28" s="6">
        <f t="shared" si="1"/>
        <v>360000</v>
      </c>
      <c r="H28" s="6">
        <f t="shared" si="1"/>
        <v>360000</v>
      </c>
    </row>
    <row r="29" spans="1:8" s="29" customFormat="1" ht="14">
      <c r="A29" s="217" t="s">
        <v>164</v>
      </c>
      <c r="B29" s="218" t="s">
        <v>17</v>
      </c>
      <c r="D29" s="6">
        <f>$C$6*$C$5*$C$2*12</f>
        <v>4190400</v>
      </c>
      <c r="E29" s="6">
        <f>$C$6*$C$5*$C$2*12</f>
        <v>4190400</v>
      </c>
      <c r="F29" s="6">
        <f>$C$6*$C$5*$C$2*12</f>
        <v>4190400</v>
      </c>
      <c r="G29" s="6">
        <f>$C$6*$C$5*$C$2*12</f>
        <v>4190400</v>
      </c>
      <c r="H29" s="6">
        <f>$C$6*$C$5*$C$2*12</f>
        <v>4190400</v>
      </c>
    </row>
    <row r="30" spans="1:8" s="29" customFormat="1" ht="14">
      <c r="A30" s="217" t="s">
        <v>182</v>
      </c>
      <c r="B30" s="218"/>
      <c r="D30" s="6">
        <f>$C$9*12</f>
        <v>216000</v>
      </c>
      <c r="E30" s="6">
        <f t="shared" ref="E30:H30" si="2">$C$9*12</f>
        <v>216000</v>
      </c>
      <c r="F30" s="6">
        <f t="shared" si="2"/>
        <v>216000</v>
      </c>
      <c r="G30" s="6">
        <f t="shared" si="2"/>
        <v>216000</v>
      </c>
      <c r="H30" s="6">
        <f t="shared" si="2"/>
        <v>216000</v>
      </c>
    </row>
    <row r="31" spans="1:8" s="187" customFormat="1" ht="14">
      <c r="A31" s="185" t="s">
        <v>127</v>
      </c>
      <c r="B31" s="191" t="s">
        <v>17</v>
      </c>
      <c r="D31" s="188">
        <f>SUM(D18:D29)</f>
        <v>18691887.180397727</v>
      </c>
      <c r="E31" s="188">
        <f t="shared" ref="E31:H31" si="3">SUM(E18:E29)</f>
        <v>18365487.180397727</v>
      </c>
      <c r="F31" s="188">
        <f t="shared" si="3"/>
        <v>18039087.180397727</v>
      </c>
      <c r="G31" s="188">
        <f t="shared" si="3"/>
        <v>17712687.180397727</v>
      </c>
      <c r="H31" s="188">
        <f t="shared" si="3"/>
        <v>17386287.180397727</v>
      </c>
    </row>
    <row r="32" spans="1:8" s="4" customFormat="1" thickBot="1">
      <c r="A32" s="4" t="s">
        <v>125</v>
      </c>
      <c r="B32" s="6" t="s">
        <v>17</v>
      </c>
      <c r="D32" s="4">
        <f>$C$10*$C$2*12</f>
        <v>17555999.999999996</v>
      </c>
      <c r="E32" s="4">
        <f t="shared" ref="E32:H32" si="4">$C$10*$C$2*12</f>
        <v>17555999.999999996</v>
      </c>
      <c r="F32" s="4">
        <f t="shared" si="4"/>
        <v>17555999.999999996</v>
      </c>
      <c r="G32" s="4">
        <f t="shared" si="4"/>
        <v>17555999.999999996</v>
      </c>
      <c r="H32" s="4">
        <f t="shared" si="4"/>
        <v>17555999.999999996</v>
      </c>
    </row>
    <row r="33" spans="1:13" s="170" customFormat="1" thickBot="1">
      <c r="A33" s="170" t="s">
        <v>126</v>
      </c>
      <c r="B33" s="192" t="s">
        <v>17</v>
      </c>
      <c r="D33" s="171">
        <f>D32-D31</f>
        <v>-1135887.1803977303</v>
      </c>
      <c r="E33" s="171">
        <f t="shared" ref="E33:H33" si="5">E32-E31</f>
        <v>-809487.18039773032</v>
      </c>
      <c r="F33" s="171">
        <f t="shared" si="5"/>
        <v>-483087.18039773032</v>
      </c>
      <c r="G33" s="171">
        <f t="shared" si="5"/>
        <v>-156687.18039773032</v>
      </c>
      <c r="H33" s="171">
        <f t="shared" si="5"/>
        <v>169712.81960226968</v>
      </c>
    </row>
    <row r="34" spans="1:13" s="29" customFormat="1" ht="14">
      <c r="C34" s="29">
        <v>0</v>
      </c>
      <c r="D34" s="29">
        <v>1</v>
      </c>
      <c r="E34" s="29">
        <v>2</v>
      </c>
      <c r="F34" s="29">
        <v>3</v>
      </c>
      <c r="G34" s="29">
        <v>4</v>
      </c>
      <c r="H34" s="29">
        <v>5</v>
      </c>
    </row>
    <row r="35" spans="1:13" s="195" customFormat="1" ht="14">
      <c r="D35" s="195">
        <f>(D33)/(1+$C$13)^D34</f>
        <v>-1014184.9824979734</v>
      </c>
      <c r="E35" s="195">
        <f>(E33)/(1+$C$13)^E34</f>
        <v>-645318.2241691089</v>
      </c>
      <c r="F35" s="195">
        <f>(F33)/(1+$C$13)^F34</f>
        <v>-343851.91297897842</v>
      </c>
      <c r="G35" s="195">
        <f>(G33)/(1+$C$13)^G34</f>
        <v>-99577.535797036704</v>
      </c>
      <c r="H35" s="195">
        <f>(H33)/(1+$C$13)^H34</f>
        <v>96299.61160205373</v>
      </c>
    </row>
    <row r="36" spans="1:13" s="29" customFormat="1" thickBot="1"/>
    <row r="37" spans="1:13" ht="16" thickBot="1">
      <c r="C37" s="216" t="s">
        <v>132</v>
      </c>
      <c r="D37" s="239">
        <f>SUM(D35:H35)-C18</f>
        <v>-2006633.0438410437</v>
      </c>
    </row>
    <row r="39" spans="1:13" ht="18">
      <c r="A39" s="189" t="s">
        <v>152</v>
      </c>
    </row>
    <row r="40" spans="1:13" s="4" customFormat="1" ht="14">
      <c r="A40" s="11" t="s">
        <v>21</v>
      </c>
      <c r="B40" s="6" t="s">
        <v>16</v>
      </c>
      <c r="C40" s="6" t="s">
        <v>45</v>
      </c>
      <c r="D40" s="6" t="s">
        <v>46</v>
      </c>
      <c r="E40" s="6" t="s">
        <v>47</v>
      </c>
      <c r="F40" s="6" t="s">
        <v>48</v>
      </c>
      <c r="G40" s="6" t="s">
        <v>49</v>
      </c>
      <c r="H40" s="6" t="s">
        <v>50</v>
      </c>
      <c r="I40" s="6" t="s">
        <v>51</v>
      </c>
      <c r="J40" s="6" t="s">
        <v>52</v>
      </c>
      <c r="K40" s="6" t="s">
        <v>53</v>
      </c>
      <c r="L40" s="6" t="s">
        <v>54</v>
      </c>
      <c r="M40" s="6" t="s">
        <v>55</v>
      </c>
    </row>
    <row r="41" spans="1:13" s="4" customFormat="1" ht="14">
      <c r="A41" s="4" t="s">
        <v>61</v>
      </c>
      <c r="B41" s="6" t="s">
        <v>17</v>
      </c>
      <c r="C41" s="6">
        <v>0</v>
      </c>
      <c r="D41" s="6"/>
      <c r="E41" s="6"/>
      <c r="F41" s="6"/>
      <c r="G41" s="6"/>
      <c r="H41" s="6"/>
      <c r="I41" s="6"/>
      <c r="J41" s="6"/>
      <c r="K41" s="6"/>
      <c r="L41" s="6"/>
      <c r="M41" s="6"/>
    </row>
    <row r="42" spans="1:13" s="4" customFormat="1" ht="14">
      <c r="A42" s="4" t="s">
        <v>59</v>
      </c>
      <c r="B42" s="6" t="s">
        <v>17</v>
      </c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</row>
    <row r="43" spans="1:13" s="4" customFormat="1" ht="14">
      <c r="A43" s="4" t="s">
        <v>60</v>
      </c>
      <c r="B43" s="6" t="s">
        <v>17</v>
      </c>
      <c r="C43" s="6"/>
      <c r="D43" s="6"/>
      <c r="E43" s="6"/>
      <c r="F43" s="6"/>
      <c r="G43" s="6"/>
      <c r="H43" s="6"/>
      <c r="I43" s="208">
        <f>0.35*$C$2*$C$3</f>
        <v>9520000</v>
      </c>
      <c r="J43" s="6"/>
      <c r="K43" s="6"/>
      <c r="L43" s="6"/>
      <c r="M43" s="6"/>
    </row>
    <row r="44" spans="1:13" s="4" customFormat="1" ht="14">
      <c r="A44" s="217" t="s">
        <v>145</v>
      </c>
      <c r="B44" s="218" t="s">
        <v>17</v>
      </c>
      <c r="C44" s="6"/>
      <c r="D44" s="6">
        <f>D21</f>
        <v>1632000</v>
      </c>
      <c r="E44" s="6">
        <f>+(($C$3*$C$2)-D49)*$C$4</f>
        <v>1468800</v>
      </c>
      <c r="F44" s="6">
        <f>($C$2*$C$3-D49-E49)*$C$4</f>
        <v>1305600</v>
      </c>
      <c r="G44" s="6">
        <f>($C$2*$C$3-E49-F49-D49)*$C$4</f>
        <v>1142400</v>
      </c>
      <c r="H44" s="6">
        <f>($C$2*$C$3-F49-G49-E49-D49)*$C$4</f>
        <v>979200</v>
      </c>
      <c r="I44" s="6">
        <f>($C$2*$C$3-G49-H49-F49-E49-D49)*$C$4</f>
        <v>816000</v>
      </c>
      <c r="J44" s="6">
        <f>($C$2*$C$3-H49-I49-G49-F49-E49-D49)*$C$4</f>
        <v>652800</v>
      </c>
      <c r="K44" s="6">
        <f>($C$2*$C$3-I49-J49-H49-G49-F49-E49-D49)*$C$4</f>
        <v>489600</v>
      </c>
      <c r="L44" s="6">
        <f>($C$2*$C$3-J49-K49-I49-H49-G49-F49-E49-D49)*$C$4</f>
        <v>326400</v>
      </c>
      <c r="M44" s="6">
        <f>($C$2*$C$3-K49-L49-J49-I49-H49-G49-F49-E49-D49)*$C$4</f>
        <v>163200</v>
      </c>
    </row>
    <row r="45" spans="1:13" s="5" customFormat="1" ht="14">
      <c r="A45" s="217" t="s">
        <v>120</v>
      </c>
      <c r="B45" s="218" t="s">
        <v>17</v>
      </c>
      <c r="C45" s="7"/>
      <c r="D45" s="6">
        <f>'Costos Unitarios'!$D$17*Híbrido!$C$2</f>
        <v>3281250.0000000009</v>
      </c>
      <c r="E45" s="6">
        <f>'Costos Unitarios'!$D$17*Híbrido!$C$2</f>
        <v>3281250.0000000009</v>
      </c>
      <c r="F45" s="6">
        <f>'Costos Unitarios'!$D$17*Híbrido!$C$2</f>
        <v>3281250.0000000009</v>
      </c>
      <c r="G45" s="6">
        <f>'Costos Unitarios'!$D$17*Híbrido!$C$2</f>
        <v>3281250.0000000009</v>
      </c>
      <c r="H45" s="6">
        <f>'Costos Unitarios'!$D$17*Híbrido!$C$2</f>
        <v>3281250.0000000009</v>
      </c>
      <c r="I45" s="6">
        <f>'Costos Unitarios'!$D$17*Híbrido!$C$2</f>
        <v>3281250.0000000009</v>
      </c>
      <c r="J45" s="6">
        <f>'Costos Unitarios'!$D$17*Híbrido!$C$2</f>
        <v>3281250.0000000009</v>
      </c>
      <c r="K45" s="6">
        <f>'Costos Unitarios'!$D$17*Híbrido!$C$2</f>
        <v>3281250.0000000009</v>
      </c>
      <c r="L45" s="6">
        <f>'Costos Unitarios'!$D$17*Híbrido!$C$2</f>
        <v>3281250.0000000009</v>
      </c>
      <c r="M45" s="6">
        <f>'Costos Unitarios'!$D$17*Híbrido!$C$2</f>
        <v>3281250.0000000009</v>
      </c>
    </row>
    <row r="46" spans="1:13" s="5" customFormat="1" ht="14">
      <c r="A46" s="217" t="s">
        <v>121</v>
      </c>
      <c r="B46" s="218" t="s">
        <v>17</v>
      </c>
      <c r="C46" s="7"/>
      <c r="D46" s="6">
        <f>'Costos Unitarios'!$D$22*Híbrido!$C$2</f>
        <v>1231650</v>
      </c>
      <c r="E46" s="6">
        <f>'Costos Unitarios'!$D$22*Híbrido!$C$2</f>
        <v>1231650</v>
      </c>
      <c r="F46" s="6">
        <f>'Costos Unitarios'!$D$22*Híbrido!$C$2</f>
        <v>1231650</v>
      </c>
      <c r="G46" s="6">
        <f>'Costos Unitarios'!$D$22*Híbrido!$C$2</f>
        <v>1231650</v>
      </c>
      <c r="H46" s="6">
        <f>'Costos Unitarios'!$D$22*Híbrido!$C$2</f>
        <v>1231650</v>
      </c>
      <c r="I46" s="6">
        <f>'Costos Unitarios'!$D$22*Híbrido!$C$2</f>
        <v>1231650</v>
      </c>
      <c r="J46" s="6">
        <f>'Costos Unitarios'!$D$22*Híbrido!$C$2</f>
        <v>1231650</v>
      </c>
      <c r="K46" s="6">
        <f>'Costos Unitarios'!$D$22*Híbrido!$C$2</f>
        <v>1231650</v>
      </c>
      <c r="L46" s="6">
        <f>'Costos Unitarios'!$D$22*Híbrido!$C$2</f>
        <v>1231650</v>
      </c>
      <c r="M46" s="6">
        <f>'Costos Unitarios'!$D$22*Híbrido!$C$2</f>
        <v>1231650</v>
      </c>
    </row>
    <row r="47" spans="1:13" s="5" customFormat="1" ht="14">
      <c r="A47" s="217" t="s">
        <v>122</v>
      </c>
      <c r="B47" s="218" t="s">
        <v>17</v>
      </c>
      <c r="C47" s="7"/>
      <c r="D47" s="6">
        <f>'Costos Unitarios'!$D$27*Híbrido!$C$2</f>
        <v>157814.453125</v>
      </c>
      <c r="E47" s="6">
        <f>'Costos Unitarios'!$D$27*Híbrido!$C$2</f>
        <v>157814.453125</v>
      </c>
      <c r="F47" s="6">
        <f>'Costos Unitarios'!$D$27*Híbrido!$C$2</f>
        <v>157814.453125</v>
      </c>
      <c r="G47" s="6">
        <f>'Costos Unitarios'!$D$27*Híbrido!$C$2</f>
        <v>157814.453125</v>
      </c>
      <c r="H47" s="6">
        <f>'Costos Unitarios'!$D$27*Híbrido!$C$2</f>
        <v>157814.453125</v>
      </c>
      <c r="I47" s="6">
        <f>'Costos Unitarios'!$D$27*Híbrido!$C$2</f>
        <v>157814.453125</v>
      </c>
      <c r="J47" s="6">
        <f>'Costos Unitarios'!$D$27*Híbrido!$C$2</f>
        <v>157814.453125</v>
      </c>
      <c r="K47" s="6">
        <f>'Costos Unitarios'!$D$27*Híbrido!$C$2</f>
        <v>157814.453125</v>
      </c>
      <c r="L47" s="6">
        <f>'Costos Unitarios'!$D$27*Híbrido!$C$2</f>
        <v>157814.453125</v>
      </c>
      <c r="M47" s="6">
        <f>'Costos Unitarios'!$D$27*Híbrido!$C$2</f>
        <v>157814.453125</v>
      </c>
    </row>
    <row r="48" spans="1:13" s="5" customFormat="1" ht="14">
      <c r="A48" s="217" t="s">
        <v>123</v>
      </c>
      <c r="B48" s="218" t="s">
        <v>17</v>
      </c>
      <c r="C48" s="7"/>
      <c r="D48" s="6">
        <f>'Costos Unitarios'!$D$32*Híbrido!$C$2</f>
        <v>1963500</v>
      </c>
      <c r="E48" s="6">
        <f>'Costos Unitarios'!$D$32*Híbrido!$C$2</f>
        <v>1963500</v>
      </c>
      <c r="F48" s="6">
        <f>'Costos Unitarios'!$D$32*Híbrido!$C$2</f>
        <v>1963500</v>
      </c>
      <c r="G48" s="6">
        <f>'Costos Unitarios'!$D$32*Híbrido!$C$2</f>
        <v>1963500</v>
      </c>
      <c r="H48" s="6">
        <f>'Costos Unitarios'!$D$32*Híbrido!$C$2</f>
        <v>1963500</v>
      </c>
      <c r="I48" s="6">
        <f>'Costos Unitarios'!$D$32*Híbrido!$C$2</f>
        <v>1963500</v>
      </c>
      <c r="J48" s="6">
        <f>'Costos Unitarios'!$D$32*Híbrido!$C$2</f>
        <v>1963500</v>
      </c>
      <c r="K48" s="6">
        <f>'Costos Unitarios'!$D$32*Híbrido!$C$2</f>
        <v>1963500</v>
      </c>
      <c r="L48" s="6">
        <f>'Costos Unitarios'!$D$32*Híbrido!$C$2</f>
        <v>1963500</v>
      </c>
      <c r="M48" s="6">
        <f>'Costos Unitarios'!$D$32*Híbrido!$C$2</f>
        <v>1963500</v>
      </c>
    </row>
    <row r="49" spans="1:15" s="18" customFormat="1" ht="14">
      <c r="A49" s="217" t="s">
        <v>153</v>
      </c>
      <c r="B49" s="219" t="s">
        <v>17</v>
      </c>
      <c r="C49" s="7"/>
      <c r="D49" s="197">
        <f>'Costos Unitarios'!$D$37*Híbrido!$C$2</f>
        <v>2720000</v>
      </c>
      <c r="E49" s="197">
        <f>'Costos Unitarios'!$D$37*Híbrido!$C$2</f>
        <v>2720000</v>
      </c>
      <c r="F49" s="197">
        <f>'Costos Unitarios'!$D$37*Híbrido!$C$2</f>
        <v>2720000</v>
      </c>
      <c r="G49" s="197">
        <f>'Costos Unitarios'!$D$37*Híbrido!$C$2</f>
        <v>2720000</v>
      </c>
      <c r="H49" s="197">
        <f>'Costos Unitarios'!$D$37*Híbrido!$C$2</f>
        <v>2720000</v>
      </c>
      <c r="I49" s="197">
        <f>'Costos Unitarios'!$D$37*Híbrido!$C$2</f>
        <v>2720000</v>
      </c>
      <c r="J49" s="197">
        <f>'Costos Unitarios'!$D$37*Híbrido!$C$2</f>
        <v>2720000</v>
      </c>
      <c r="K49" s="197">
        <f>'Costos Unitarios'!$D$37*Híbrido!$C$2</f>
        <v>2720000</v>
      </c>
      <c r="L49" s="197">
        <f>'Costos Unitarios'!$D$37*Híbrido!$C$2</f>
        <v>2720000</v>
      </c>
      <c r="M49" s="197">
        <f>'Costos Unitarios'!$D$37*Híbrido!$C$2</f>
        <v>2720000</v>
      </c>
      <c r="N49" s="198"/>
    </row>
    <row r="50" spans="1:15" s="29" customFormat="1" ht="14">
      <c r="A50" s="217" t="s">
        <v>167</v>
      </c>
      <c r="B50" s="218" t="s">
        <v>17</v>
      </c>
      <c r="D50" s="6">
        <f>$C$8*12</f>
        <v>435272.72727272729</v>
      </c>
      <c r="E50" s="6">
        <f t="shared" ref="E50:M50" si="6">$C$8*12</f>
        <v>435272.72727272729</v>
      </c>
      <c r="F50" s="6">
        <f t="shared" si="6"/>
        <v>435272.72727272729</v>
      </c>
      <c r="G50" s="6">
        <f t="shared" si="6"/>
        <v>435272.72727272729</v>
      </c>
      <c r="H50" s="6">
        <f t="shared" si="6"/>
        <v>435272.72727272729</v>
      </c>
      <c r="I50" s="6">
        <f t="shared" si="6"/>
        <v>435272.72727272729</v>
      </c>
      <c r="J50" s="6">
        <f t="shared" si="6"/>
        <v>435272.72727272729</v>
      </c>
      <c r="K50" s="6">
        <f t="shared" si="6"/>
        <v>435272.72727272729</v>
      </c>
      <c r="L50" s="6">
        <f t="shared" si="6"/>
        <v>435272.72727272729</v>
      </c>
      <c r="M50" s="6">
        <f t="shared" si="6"/>
        <v>435272.72727272729</v>
      </c>
    </row>
    <row r="51" spans="1:15" s="29" customFormat="1" ht="14">
      <c r="A51" s="217" t="s">
        <v>150</v>
      </c>
      <c r="B51" s="218" t="s">
        <v>17</v>
      </c>
      <c r="D51" s="6">
        <f>$C$7*$C$2*12</f>
        <v>360000</v>
      </c>
      <c r="E51" s="6">
        <f t="shared" ref="E51:M51" si="7">$C$7*$C$2*12</f>
        <v>360000</v>
      </c>
      <c r="F51" s="6">
        <f t="shared" si="7"/>
        <v>360000</v>
      </c>
      <c r="G51" s="6">
        <f t="shared" si="7"/>
        <v>360000</v>
      </c>
      <c r="H51" s="6">
        <f t="shared" si="7"/>
        <v>360000</v>
      </c>
      <c r="I51" s="6">
        <f t="shared" si="7"/>
        <v>360000</v>
      </c>
      <c r="J51" s="6">
        <f t="shared" si="7"/>
        <v>360000</v>
      </c>
      <c r="K51" s="6">
        <f t="shared" si="7"/>
        <v>360000</v>
      </c>
      <c r="L51" s="6">
        <f t="shared" si="7"/>
        <v>360000</v>
      </c>
      <c r="M51" s="6">
        <f t="shared" si="7"/>
        <v>360000</v>
      </c>
    </row>
    <row r="52" spans="1:15" s="29" customFormat="1" ht="14">
      <c r="A52" s="217" t="s">
        <v>164</v>
      </c>
      <c r="B52" s="218" t="s">
        <v>17</v>
      </c>
      <c r="D52" s="6">
        <f t="shared" ref="D52:M52" si="8">$C$6*$C$5*$C$2*12</f>
        <v>4190400</v>
      </c>
      <c r="E52" s="6">
        <f t="shared" si="8"/>
        <v>4190400</v>
      </c>
      <c r="F52" s="6">
        <f t="shared" si="8"/>
        <v>4190400</v>
      </c>
      <c r="G52" s="6">
        <f t="shared" si="8"/>
        <v>4190400</v>
      </c>
      <c r="H52" s="6">
        <f t="shared" si="8"/>
        <v>4190400</v>
      </c>
      <c r="I52" s="6">
        <f t="shared" si="8"/>
        <v>4190400</v>
      </c>
      <c r="J52" s="6">
        <f t="shared" si="8"/>
        <v>4190400</v>
      </c>
      <c r="K52" s="6">
        <f t="shared" si="8"/>
        <v>4190400</v>
      </c>
      <c r="L52" s="6">
        <f t="shared" si="8"/>
        <v>4190400</v>
      </c>
      <c r="M52" s="6">
        <f t="shared" si="8"/>
        <v>4190400</v>
      </c>
    </row>
    <row r="53" spans="1:15" s="29" customFormat="1" ht="14">
      <c r="A53" s="217" t="s">
        <v>182</v>
      </c>
      <c r="B53" s="218" t="s">
        <v>17</v>
      </c>
      <c r="D53" s="6">
        <f>$C$9*12</f>
        <v>216000</v>
      </c>
      <c r="E53" s="6">
        <f t="shared" ref="E53:M53" si="9">$C$9*12</f>
        <v>216000</v>
      </c>
      <c r="F53" s="6">
        <f t="shared" si="9"/>
        <v>216000</v>
      </c>
      <c r="G53" s="6">
        <f t="shared" si="9"/>
        <v>216000</v>
      </c>
      <c r="H53" s="6">
        <f t="shared" si="9"/>
        <v>216000</v>
      </c>
      <c r="I53" s="6">
        <f t="shared" si="9"/>
        <v>216000</v>
      </c>
      <c r="J53" s="6">
        <f t="shared" si="9"/>
        <v>216000</v>
      </c>
      <c r="K53" s="6">
        <f t="shared" si="9"/>
        <v>216000</v>
      </c>
      <c r="L53" s="6">
        <f t="shared" si="9"/>
        <v>216000</v>
      </c>
      <c r="M53" s="6">
        <f t="shared" si="9"/>
        <v>216000</v>
      </c>
    </row>
    <row r="54" spans="1:15" s="187" customFormat="1" ht="14">
      <c r="A54" s="196" t="s">
        <v>127</v>
      </c>
      <c r="B54" s="191" t="s">
        <v>17</v>
      </c>
      <c r="D54" s="188">
        <f>SUM(D41:D53)</f>
        <v>16187887.180397727</v>
      </c>
      <c r="E54" s="188">
        <f t="shared" ref="E54:M54" si="10">SUM(E41:E53)</f>
        <v>16024687.180397727</v>
      </c>
      <c r="F54" s="188">
        <f t="shared" si="10"/>
        <v>15861487.180397727</v>
      </c>
      <c r="G54" s="188">
        <f t="shared" si="10"/>
        <v>15698287.180397727</v>
      </c>
      <c r="H54" s="188">
        <f t="shared" si="10"/>
        <v>15535087.180397727</v>
      </c>
      <c r="I54" s="188">
        <f t="shared" si="10"/>
        <v>24891887.180397727</v>
      </c>
      <c r="J54" s="188">
        <f t="shared" si="10"/>
        <v>15208687.180397727</v>
      </c>
      <c r="K54" s="188">
        <f t="shared" si="10"/>
        <v>15045487.180397727</v>
      </c>
      <c r="L54" s="188">
        <f t="shared" si="10"/>
        <v>14882287.180397727</v>
      </c>
      <c r="M54" s="188">
        <f t="shared" si="10"/>
        <v>14719087.180397727</v>
      </c>
    </row>
    <row r="55" spans="1:15" s="4" customFormat="1" thickBot="1">
      <c r="A55" s="4" t="s">
        <v>125</v>
      </c>
      <c r="D55" s="4">
        <f>$C$10*$C$2*12</f>
        <v>17555999.999999996</v>
      </c>
      <c r="E55" s="4">
        <f t="shared" ref="E55:M55" si="11">$C$10*$C$2*12</f>
        <v>17555999.999999996</v>
      </c>
      <c r="F55" s="4">
        <f t="shared" si="11"/>
        <v>17555999.999999996</v>
      </c>
      <c r="G55" s="4">
        <f t="shared" si="11"/>
        <v>17555999.999999996</v>
      </c>
      <c r="H55" s="4">
        <f t="shared" si="11"/>
        <v>17555999.999999996</v>
      </c>
      <c r="I55" s="4">
        <f t="shared" si="11"/>
        <v>17555999.999999996</v>
      </c>
      <c r="J55" s="4">
        <f t="shared" si="11"/>
        <v>17555999.999999996</v>
      </c>
      <c r="K55" s="4">
        <f t="shared" si="11"/>
        <v>17555999.999999996</v>
      </c>
      <c r="L55" s="4">
        <f t="shared" si="11"/>
        <v>17555999.999999996</v>
      </c>
      <c r="M55" s="4">
        <f t="shared" si="11"/>
        <v>17555999.999999996</v>
      </c>
    </row>
    <row r="56" spans="1:15" s="170" customFormat="1" thickBot="1">
      <c r="A56" s="170" t="s">
        <v>126</v>
      </c>
      <c r="D56" s="171">
        <f>D55-D54</f>
        <v>1368112.8196022697</v>
      </c>
      <c r="E56" s="171">
        <f t="shared" ref="E56:M56" si="12">E55-E54</f>
        <v>1531312.8196022697</v>
      </c>
      <c r="F56" s="171">
        <f t="shared" si="12"/>
        <v>1694512.8196022697</v>
      </c>
      <c r="G56" s="171">
        <f t="shared" si="12"/>
        <v>1857712.8196022697</v>
      </c>
      <c r="H56" s="171">
        <f t="shared" si="12"/>
        <v>2020912.8196022697</v>
      </c>
      <c r="I56" s="171">
        <f t="shared" si="12"/>
        <v>-7335887.1803977303</v>
      </c>
      <c r="J56" s="171">
        <f t="shared" si="12"/>
        <v>2347312.8196022697</v>
      </c>
      <c r="K56" s="171">
        <f t="shared" si="12"/>
        <v>2510512.8196022697</v>
      </c>
      <c r="L56" s="171">
        <f t="shared" si="12"/>
        <v>2673712.8196022697</v>
      </c>
      <c r="M56" s="171">
        <f t="shared" si="12"/>
        <v>2836912.8196022697</v>
      </c>
    </row>
    <row r="57" spans="1:15" s="29" customFormat="1" ht="14">
      <c r="C57" s="29">
        <v>0</v>
      </c>
      <c r="D57" s="29">
        <v>1</v>
      </c>
      <c r="E57" s="29">
        <v>2</v>
      </c>
      <c r="F57" s="29">
        <v>3</v>
      </c>
      <c r="G57" s="29">
        <v>4</v>
      </c>
      <c r="H57" s="29">
        <v>5</v>
      </c>
      <c r="I57" s="29">
        <v>6</v>
      </c>
      <c r="J57" s="29">
        <v>7</v>
      </c>
      <c r="K57" s="29">
        <v>8</v>
      </c>
      <c r="L57" s="29">
        <v>9</v>
      </c>
      <c r="M57" s="29">
        <v>10</v>
      </c>
    </row>
    <row r="58" spans="1:15" s="29" customFormat="1" ht="14">
      <c r="D58" s="29">
        <f t="shared" ref="D58:M58" si="13">(D56)/(1+$C$13)^D57</f>
        <v>1221529.3032163121</v>
      </c>
      <c r="E58" s="29">
        <f t="shared" si="13"/>
        <v>1220753.2044023194</v>
      </c>
      <c r="F58" s="29">
        <f t="shared" si="13"/>
        <v>1206120.7546595051</v>
      </c>
      <c r="G58" s="29">
        <f t="shared" si="13"/>
        <v>1180610.0813416552</v>
      </c>
      <c r="H58" s="29">
        <f t="shared" si="13"/>
        <v>1146720.2069083247</v>
      </c>
      <c r="I58" s="29">
        <f t="shared" si="13"/>
        <v>-3716588.7470352356</v>
      </c>
      <c r="J58" s="29">
        <f t="shared" si="13"/>
        <v>1061805.1120973176</v>
      </c>
      <c r="K58" s="29">
        <f t="shared" si="13"/>
        <v>1013954.0214645523</v>
      </c>
      <c r="L58" s="29">
        <f t="shared" si="13"/>
        <v>964167.64667034394</v>
      </c>
      <c r="M58" s="29">
        <f t="shared" si="13"/>
        <v>913410.00245298003</v>
      </c>
    </row>
    <row r="59" spans="1:15" s="29" customFormat="1" thickBot="1"/>
    <row r="60" spans="1:15" ht="16" thickBot="1">
      <c r="C60" s="216" t="s">
        <v>131</v>
      </c>
      <c r="D60" s="239">
        <f>SUM(D58:M58)-C41</f>
        <v>6212481.5861780755</v>
      </c>
    </row>
    <row r="62" spans="1:15" ht="18">
      <c r="A62" s="189" t="s">
        <v>154</v>
      </c>
    </row>
    <row r="63" spans="1:15" s="4" customFormat="1" ht="14">
      <c r="A63" s="11" t="s">
        <v>21</v>
      </c>
      <c r="B63" s="6" t="s">
        <v>16</v>
      </c>
      <c r="C63" s="6" t="s">
        <v>45</v>
      </c>
      <c r="D63" s="6" t="s">
        <v>46</v>
      </c>
      <c r="E63" s="6" t="s">
        <v>47</v>
      </c>
      <c r="F63" s="6" t="s">
        <v>48</v>
      </c>
      <c r="G63" s="6" t="s">
        <v>49</v>
      </c>
      <c r="H63" s="6" t="s">
        <v>50</v>
      </c>
      <c r="I63" s="6" t="s">
        <v>51</v>
      </c>
      <c r="J63" s="6" t="s">
        <v>52</v>
      </c>
      <c r="K63" s="6" t="s">
        <v>53</v>
      </c>
      <c r="L63" s="6" t="s">
        <v>54</v>
      </c>
      <c r="M63" s="6" t="s">
        <v>55</v>
      </c>
      <c r="N63" s="6" t="s">
        <v>56</v>
      </c>
      <c r="O63" s="6" t="s">
        <v>57</v>
      </c>
    </row>
    <row r="64" spans="1:15" s="4" customFormat="1" ht="14">
      <c r="A64" s="4" t="s">
        <v>61</v>
      </c>
      <c r="B64" s="6" t="s">
        <v>17</v>
      </c>
      <c r="C64" s="6">
        <v>0</v>
      </c>
      <c r="D64" s="6"/>
      <c r="E64" s="6"/>
      <c r="F64" s="6"/>
      <c r="G64" s="6"/>
      <c r="H64" s="6"/>
      <c r="I64" s="6"/>
      <c r="J64" s="6"/>
      <c r="K64" s="6"/>
      <c r="L64" s="6"/>
      <c r="M64" s="6"/>
    </row>
    <row r="65" spans="1:15" s="4" customFormat="1" ht="14">
      <c r="A65" s="4" t="s">
        <v>59</v>
      </c>
      <c r="B65" s="6" t="s">
        <v>17</v>
      </c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</row>
    <row r="66" spans="1:15" s="4" customFormat="1" ht="14">
      <c r="A66" s="220" t="s">
        <v>60</v>
      </c>
      <c r="B66" s="221" t="s">
        <v>17</v>
      </c>
      <c r="C66" s="6"/>
      <c r="D66" s="6"/>
      <c r="E66" s="6"/>
      <c r="F66" s="6"/>
      <c r="G66" s="6"/>
      <c r="H66" s="6"/>
      <c r="I66" s="6">
        <f>0.35*$C$2*$C$3</f>
        <v>9520000</v>
      </c>
      <c r="J66" s="6"/>
      <c r="K66" s="6"/>
      <c r="L66" s="6"/>
      <c r="M66" s="6"/>
    </row>
    <row r="67" spans="1:15" s="4" customFormat="1" ht="14">
      <c r="A67" s="217" t="s">
        <v>145</v>
      </c>
      <c r="B67" s="218" t="s">
        <v>17</v>
      </c>
      <c r="C67" s="6"/>
      <c r="D67" s="6">
        <f>D44</f>
        <v>1632000</v>
      </c>
      <c r="E67" s="6">
        <f>+(($C$3*$C$2)-D72)*$C$4</f>
        <v>1495999.9999999998</v>
      </c>
      <c r="F67" s="6">
        <f>($C$2*$C$3-D72-E72)*$C$4</f>
        <v>1359999.9999999998</v>
      </c>
      <c r="G67" s="6">
        <f>($C$2*$C$3-E72-F72-D72)*$C$4</f>
        <v>1223999.9999999998</v>
      </c>
      <c r="H67" s="6">
        <f>($C$2*$C$3-F72-G72-E72-D72)*$C$4</f>
        <v>1087999.9999999998</v>
      </c>
      <c r="I67" s="6">
        <f>($C$2*$C$3-G72-H72-F72-E72-D72)*$C$4</f>
        <v>951999.99999999953</v>
      </c>
      <c r="J67" s="6">
        <f>($C$2*$C$3-H72-I72-G72-F72-E72-D72)*$C$4</f>
        <v>815999.99999999953</v>
      </c>
      <c r="K67" s="6">
        <f>($C$2*$C$3-I72-J72-H72-G72-F72-E72-D72)*$C$4</f>
        <v>679999.99999999942</v>
      </c>
      <c r="L67" s="6">
        <f>($C$2*$C$3-J72-K72-I72-H72-G72-F72-E72-D72)*$C$4</f>
        <v>543999.99999999942</v>
      </c>
      <c r="M67" s="6">
        <f>($C$2*$C$3-K72-L72-J72-I72-H72-G72-F72-E72-D72)*$C$4</f>
        <v>407999.99999999936</v>
      </c>
      <c r="N67" s="6">
        <f>($C$2*$C$3-L72-M72-K72-J72-I72-H72-G72-F72-E72-D72)*$C$4</f>
        <v>271999.99999999936</v>
      </c>
      <c r="O67" s="6">
        <f>($C$2*$C$3-M72-N72-L72-K72-J72-I72-H72-G72-F72-E72-D72)*$C$4</f>
        <v>135999.99999999933</v>
      </c>
    </row>
    <row r="68" spans="1:15" s="5" customFormat="1" ht="14">
      <c r="A68" s="217" t="s">
        <v>120</v>
      </c>
      <c r="B68" s="218" t="s">
        <v>17</v>
      </c>
      <c r="C68" s="7"/>
      <c r="D68" s="6">
        <f>'Costos Unitarios'!$D$17*Híbrido!$C$2</f>
        <v>3281250.0000000009</v>
      </c>
      <c r="E68" s="6">
        <f>'Costos Unitarios'!$D$17*Híbrido!$C$2</f>
        <v>3281250.0000000009</v>
      </c>
      <c r="F68" s="6">
        <f>'Costos Unitarios'!$D$17*Híbrido!$C$2</f>
        <v>3281250.0000000009</v>
      </c>
      <c r="G68" s="6">
        <f>'Costos Unitarios'!$D$17*Híbrido!$C$2</f>
        <v>3281250.0000000009</v>
      </c>
      <c r="H68" s="6">
        <f>'Costos Unitarios'!$D$17*Híbrido!$C$2</f>
        <v>3281250.0000000009</v>
      </c>
      <c r="I68" s="6">
        <f>'Costos Unitarios'!$D$17*Híbrido!$C$2</f>
        <v>3281250.0000000009</v>
      </c>
      <c r="J68" s="6">
        <f>'Costos Unitarios'!$D$17*Híbrido!$C$2</f>
        <v>3281250.0000000009</v>
      </c>
      <c r="K68" s="6">
        <f>'Costos Unitarios'!$D$17*Híbrido!$C$2</f>
        <v>3281250.0000000009</v>
      </c>
      <c r="L68" s="6">
        <f>'Costos Unitarios'!$D$17*Híbrido!$C$2</f>
        <v>3281250.0000000009</v>
      </c>
      <c r="M68" s="6">
        <f>'Costos Unitarios'!$D$17*Híbrido!$C$2</f>
        <v>3281250.0000000009</v>
      </c>
      <c r="N68" s="6">
        <f>'Costos Unitarios'!$D$17*Híbrido!$C$2</f>
        <v>3281250.0000000009</v>
      </c>
      <c r="O68" s="6">
        <f>'Costos Unitarios'!$D$17*Híbrido!$C$2</f>
        <v>3281250.0000000009</v>
      </c>
    </row>
    <row r="69" spans="1:15" s="5" customFormat="1" ht="14">
      <c r="A69" s="217" t="s">
        <v>121</v>
      </c>
      <c r="B69" s="218" t="s">
        <v>17</v>
      </c>
      <c r="C69" s="7"/>
      <c r="D69" s="6">
        <f>'Costos Unitarios'!$D$22*Híbrido!$C$2</f>
        <v>1231650</v>
      </c>
      <c r="E69" s="6">
        <f>'Costos Unitarios'!$D$22*Híbrido!$C$2</f>
        <v>1231650</v>
      </c>
      <c r="F69" s="6">
        <f>'Costos Unitarios'!$D$22*Híbrido!$C$2</f>
        <v>1231650</v>
      </c>
      <c r="G69" s="6">
        <f>'Costos Unitarios'!$D$22*Híbrido!$C$2</f>
        <v>1231650</v>
      </c>
      <c r="H69" s="6">
        <f>'Costos Unitarios'!$D$22*Híbrido!$C$2</f>
        <v>1231650</v>
      </c>
      <c r="I69" s="6">
        <f>'Costos Unitarios'!$D$22*Híbrido!$C$2</f>
        <v>1231650</v>
      </c>
      <c r="J69" s="6">
        <f>'Costos Unitarios'!$D$22*Híbrido!$C$2</f>
        <v>1231650</v>
      </c>
      <c r="K69" s="6">
        <f>'Costos Unitarios'!$D$22*Híbrido!$C$2</f>
        <v>1231650</v>
      </c>
      <c r="L69" s="6">
        <f>'Costos Unitarios'!$D$22*Híbrido!$C$2</f>
        <v>1231650</v>
      </c>
      <c r="M69" s="6">
        <f>'Costos Unitarios'!$D$22*Híbrido!$C$2</f>
        <v>1231650</v>
      </c>
      <c r="N69" s="6">
        <f>'Costos Unitarios'!$D$22*Híbrido!$C$2</f>
        <v>1231650</v>
      </c>
      <c r="O69" s="6">
        <f>'Costos Unitarios'!$D$22*Híbrido!$C$2</f>
        <v>1231650</v>
      </c>
    </row>
    <row r="70" spans="1:15" s="5" customFormat="1" ht="14">
      <c r="A70" s="217" t="s">
        <v>122</v>
      </c>
      <c r="B70" s="218" t="s">
        <v>17</v>
      </c>
      <c r="C70" s="7"/>
      <c r="D70" s="6">
        <f>'Costos Unitarios'!$D$27*Híbrido!$C$2</f>
        <v>157814.453125</v>
      </c>
      <c r="E70" s="6">
        <f>'Costos Unitarios'!$D$27*Híbrido!$C$2</f>
        <v>157814.453125</v>
      </c>
      <c r="F70" s="6">
        <f>'Costos Unitarios'!$D$27*Híbrido!$C$2</f>
        <v>157814.453125</v>
      </c>
      <c r="G70" s="6">
        <f>'Costos Unitarios'!$D$27*Híbrido!$C$2</f>
        <v>157814.453125</v>
      </c>
      <c r="H70" s="6">
        <f>'Costos Unitarios'!$D$27*Híbrido!$C$2</f>
        <v>157814.453125</v>
      </c>
      <c r="I70" s="6">
        <f>'Costos Unitarios'!$D$27*Híbrido!$C$2</f>
        <v>157814.453125</v>
      </c>
      <c r="J70" s="6">
        <f>'Costos Unitarios'!$D$27*Híbrido!$C$2</f>
        <v>157814.453125</v>
      </c>
      <c r="K70" s="6">
        <f>'Costos Unitarios'!$D$27*Híbrido!$C$2</f>
        <v>157814.453125</v>
      </c>
      <c r="L70" s="6">
        <f>'Costos Unitarios'!$D$27*Híbrido!$C$2</f>
        <v>157814.453125</v>
      </c>
      <c r="M70" s="6">
        <f>'Costos Unitarios'!$D$27*Híbrido!$C$2</f>
        <v>157814.453125</v>
      </c>
      <c r="N70" s="6">
        <f>'Costos Unitarios'!$D$27*Híbrido!$C$2</f>
        <v>157814.453125</v>
      </c>
      <c r="O70" s="6">
        <f>'Costos Unitarios'!$D$27*Híbrido!$C$2</f>
        <v>157814.453125</v>
      </c>
    </row>
    <row r="71" spans="1:15" s="5" customFormat="1" ht="14">
      <c r="A71" s="217" t="s">
        <v>123</v>
      </c>
      <c r="B71" s="218" t="s">
        <v>17</v>
      </c>
      <c r="C71" s="7"/>
      <c r="D71" s="6">
        <f>'Costos Unitarios'!$D$32*Híbrido!$C$2</f>
        <v>1963500</v>
      </c>
      <c r="E71" s="6">
        <f>'Costos Unitarios'!$D$32*Híbrido!$C$2</f>
        <v>1963500</v>
      </c>
      <c r="F71" s="6">
        <f>'Costos Unitarios'!$D$32*Híbrido!$C$2</f>
        <v>1963500</v>
      </c>
      <c r="G71" s="6">
        <f>'Costos Unitarios'!$D$32*Híbrido!$C$2</f>
        <v>1963500</v>
      </c>
      <c r="H71" s="6">
        <f>'Costos Unitarios'!$D$32*Híbrido!$C$2</f>
        <v>1963500</v>
      </c>
      <c r="I71" s="6">
        <f>'Costos Unitarios'!$D$32*Híbrido!$C$2</f>
        <v>1963500</v>
      </c>
      <c r="J71" s="6">
        <f>'Costos Unitarios'!$D$32*Híbrido!$C$2</f>
        <v>1963500</v>
      </c>
      <c r="K71" s="6">
        <f>'Costos Unitarios'!$D$32*Híbrido!$C$2</f>
        <v>1963500</v>
      </c>
      <c r="L71" s="6">
        <f>'Costos Unitarios'!$D$32*Híbrido!$C$2</f>
        <v>1963500</v>
      </c>
      <c r="M71" s="6">
        <f>'Costos Unitarios'!$D$32*Híbrido!$C$2</f>
        <v>1963500</v>
      </c>
      <c r="N71" s="6">
        <f>'Costos Unitarios'!$D$32*Híbrido!$C$2</f>
        <v>1963500</v>
      </c>
      <c r="O71" s="6">
        <f>'Costos Unitarios'!$D$32*Híbrido!$C$2</f>
        <v>1963500</v>
      </c>
    </row>
    <row r="72" spans="1:15" s="18" customFormat="1" ht="14">
      <c r="A72" s="217" t="s">
        <v>168</v>
      </c>
      <c r="B72" s="219" t="s">
        <v>17</v>
      </c>
      <c r="C72" s="7"/>
      <c r="D72" s="197">
        <f>'Costos Unitarios'!$D$38*Híbrido!$C$2</f>
        <v>2266666.666666667</v>
      </c>
      <c r="E72" s="197">
        <f>'Costos Unitarios'!$D$38*Híbrido!$C$2</f>
        <v>2266666.666666667</v>
      </c>
      <c r="F72" s="197">
        <f>'Costos Unitarios'!$D$38*Híbrido!$C$2</f>
        <v>2266666.666666667</v>
      </c>
      <c r="G72" s="197">
        <f>'Costos Unitarios'!$D$38*Híbrido!$C$2</f>
        <v>2266666.666666667</v>
      </c>
      <c r="H72" s="197">
        <f>'Costos Unitarios'!$D$38*Híbrido!$C$2</f>
        <v>2266666.666666667</v>
      </c>
      <c r="I72" s="197">
        <f>'Costos Unitarios'!$D$38*Híbrido!$C$2</f>
        <v>2266666.666666667</v>
      </c>
      <c r="J72" s="197">
        <f>'Costos Unitarios'!$D$38*Híbrido!$C$2</f>
        <v>2266666.666666667</v>
      </c>
      <c r="K72" s="197">
        <f>'Costos Unitarios'!$D$38*Híbrido!$C$2</f>
        <v>2266666.666666667</v>
      </c>
      <c r="L72" s="197">
        <f>'Costos Unitarios'!$D$38*Híbrido!$C$2</f>
        <v>2266666.666666667</v>
      </c>
      <c r="M72" s="197">
        <f>'Costos Unitarios'!$D$38*Híbrido!$C$2</f>
        <v>2266666.666666667</v>
      </c>
      <c r="N72" s="197">
        <f>'Costos Unitarios'!$D$38*Híbrido!$C$2</f>
        <v>2266666.666666667</v>
      </c>
      <c r="O72" s="197">
        <f>'Costos Unitarios'!$D$38*Híbrido!$C$2</f>
        <v>2266666.666666667</v>
      </c>
    </row>
    <row r="73" spans="1:15" s="29" customFormat="1" ht="14">
      <c r="A73" s="217" t="s">
        <v>167</v>
      </c>
      <c r="B73" s="218" t="s">
        <v>17</v>
      </c>
      <c r="D73" s="6">
        <f>$D$50</f>
        <v>435272.72727272729</v>
      </c>
      <c r="E73" s="6">
        <f t="shared" ref="E73:O73" si="14">$D$50</f>
        <v>435272.72727272729</v>
      </c>
      <c r="F73" s="6">
        <f t="shared" si="14"/>
        <v>435272.72727272729</v>
      </c>
      <c r="G73" s="6">
        <f t="shared" si="14"/>
        <v>435272.72727272729</v>
      </c>
      <c r="H73" s="6">
        <f t="shared" si="14"/>
        <v>435272.72727272729</v>
      </c>
      <c r="I73" s="6">
        <f t="shared" si="14"/>
        <v>435272.72727272729</v>
      </c>
      <c r="J73" s="6">
        <f t="shared" si="14"/>
        <v>435272.72727272729</v>
      </c>
      <c r="K73" s="6">
        <f t="shared" si="14"/>
        <v>435272.72727272729</v>
      </c>
      <c r="L73" s="6">
        <f t="shared" si="14"/>
        <v>435272.72727272729</v>
      </c>
      <c r="M73" s="6">
        <f t="shared" si="14"/>
        <v>435272.72727272729</v>
      </c>
      <c r="N73" s="6">
        <f t="shared" si="14"/>
        <v>435272.72727272729</v>
      </c>
      <c r="O73" s="6">
        <f t="shared" si="14"/>
        <v>435272.72727272729</v>
      </c>
    </row>
    <row r="74" spans="1:15" s="29" customFormat="1" ht="14">
      <c r="A74" s="217" t="s">
        <v>150</v>
      </c>
      <c r="B74" s="218" t="s">
        <v>17</v>
      </c>
      <c r="D74" s="6">
        <f>$C$7*$C$2*12</f>
        <v>360000</v>
      </c>
      <c r="E74" s="6">
        <f t="shared" ref="E74:O74" si="15">$C$7*$C$2*12</f>
        <v>360000</v>
      </c>
      <c r="F74" s="6">
        <f t="shared" si="15"/>
        <v>360000</v>
      </c>
      <c r="G74" s="6">
        <f t="shared" si="15"/>
        <v>360000</v>
      </c>
      <c r="H74" s="6">
        <f t="shared" si="15"/>
        <v>360000</v>
      </c>
      <c r="I74" s="6">
        <f t="shared" si="15"/>
        <v>360000</v>
      </c>
      <c r="J74" s="6">
        <f t="shared" si="15"/>
        <v>360000</v>
      </c>
      <c r="K74" s="6">
        <f t="shared" si="15"/>
        <v>360000</v>
      </c>
      <c r="L74" s="6">
        <f t="shared" si="15"/>
        <v>360000</v>
      </c>
      <c r="M74" s="6">
        <f t="shared" si="15"/>
        <v>360000</v>
      </c>
      <c r="N74" s="6">
        <f t="shared" si="15"/>
        <v>360000</v>
      </c>
      <c r="O74" s="6">
        <f t="shared" si="15"/>
        <v>360000</v>
      </c>
    </row>
    <row r="75" spans="1:15" s="29" customFormat="1" ht="14">
      <c r="A75" s="217" t="s">
        <v>164</v>
      </c>
      <c r="B75" s="218" t="s">
        <v>17</v>
      </c>
      <c r="D75" s="6">
        <f t="shared" ref="D75:O75" si="16">$C$6*$C$5*$C$2*12</f>
        <v>4190400</v>
      </c>
      <c r="E75" s="6">
        <f t="shared" si="16"/>
        <v>4190400</v>
      </c>
      <c r="F75" s="6">
        <f t="shared" si="16"/>
        <v>4190400</v>
      </c>
      <c r="G75" s="6">
        <f t="shared" si="16"/>
        <v>4190400</v>
      </c>
      <c r="H75" s="6">
        <f t="shared" si="16"/>
        <v>4190400</v>
      </c>
      <c r="I75" s="6">
        <f t="shared" si="16"/>
        <v>4190400</v>
      </c>
      <c r="J75" s="6">
        <f t="shared" si="16"/>
        <v>4190400</v>
      </c>
      <c r="K75" s="6">
        <f t="shared" si="16"/>
        <v>4190400</v>
      </c>
      <c r="L75" s="6">
        <f t="shared" si="16"/>
        <v>4190400</v>
      </c>
      <c r="M75" s="6">
        <f t="shared" si="16"/>
        <v>4190400</v>
      </c>
      <c r="N75" s="6">
        <f t="shared" si="16"/>
        <v>4190400</v>
      </c>
      <c r="O75" s="6">
        <f t="shared" si="16"/>
        <v>4190400</v>
      </c>
    </row>
    <row r="76" spans="1:15" s="29" customFormat="1" ht="14">
      <c r="A76" s="217" t="s">
        <v>182</v>
      </c>
      <c r="B76" s="218" t="s">
        <v>17</v>
      </c>
      <c r="D76" s="6">
        <f>$C$9*12</f>
        <v>216000</v>
      </c>
      <c r="E76" s="6">
        <f t="shared" ref="E76:M76" si="17">$C$9*12</f>
        <v>216000</v>
      </c>
      <c r="F76" s="6">
        <f t="shared" si="17"/>
        <v>216000</v>
      </c>
      <c r="G76" s="6">
        <f t="shared" si="17"/>
        <v>216000</v>
      </c>
      <c r="H76" s="6">
        <f t="shared" si="17"/>
        <v>216000</v>
      </c>
      <c r="I76" s="6">
        <f t="shared" si="17"/>
        <v>216000</v>
      </c>
      <c r="J76" s="6">
        <f t="shared" si="17"/>
        <v>216000</v>
      </c>
      <c r="K76" s="6">
        <f t="shared" si="17"/>
        <v>216000</v>
      </c>
      <c r="L76" s="6">
        <f t="shared" si="17"/>
        <v>216000</v>
      </c>
      <c r="M76" s="6">
        <f t="shared" si="17"/>
        <v>216000</v>
      </c>
    </row>
    <row r="77" spans="1:15" s="187" customFormat="1" ht="14">
      <c r="A77" s="196" t="s">
        <v>127</v>
      </c>
      <c r="B77" s="191" t="s">
        <v>17</v>
      </c>
      <c r="D77" s="188">
        <f>SUM(D64:D76)</f>
        <v>15734553.847064395</v>
      </c>
      <c r="E77" s="188">
        <f t="shared" ref="E77:O77" si="18">SUM(E64:E76)</f>
        <v>15598553.847064395</v>
      </c>
      <c r="F77" s="188">
        <f t="shared" si="18"/>
        <v>15462553.847064395</v>
      </c>
      <c r="G77" s="188">
        <f t="shared" si="18"/>
        <v>15326553.847064395</v>
      </c>
      <c r="H77" s="188">
        <f t="shared" si="18"/>
        <v>15190553.847064395</v>
      </c>
      <c r="I77" s="188">
        <f t="shared" si="18"/>
        <v>24574553.847064395</v>
      </c>
      <c r="J77" s="188">
        <f t="shared" si="18"/>
        <v>14918553.847064395</v>
      </c>
      <c r="K77" s="188">
        <f t="shared" si="18"/>
        <v>14782553.847064395</v>
      </c>
      <c r="L77" s="188">
        <f t="shared" si="18"/>
        <v>14646553.847064395</v>
      </c>
      <c r="M77" s="188">
        <f t="shared" si="18"/>
        <v>14510553.847064395</v>
      </c>
      <c r="N77" s="188">
        <f t="shared" si="18"/>
        <v>14158553.847064395</v>
      </c>
      <c r="O77" s="188">
        <f t="shared" si="18"/>
        <v>14022553.847064395</v>
      </c>
    </row>
    <row r="78" spans="1:15" s="4" customFormat="1" thickBot="1">
      <c r="A78" s="4" t="s">
        <v>125</v>
      </c>
      <c r="D78" s="4">
        <f>$C$10*$C$2*12</f>
        <v>17555999.999999996</v>
      </c>
      <c r="E78" s="4">
        <f t="shared" ref="E78:O78" si="19">$C$10*$C$2*12</f>
        <v>17555999.999999996</v>
      </c>
      <c r="F78" s="4">
        <f t="shared" si="19"/>
        <v>17555999.999999996</v>
      </c>
      <c r="G78" s="4">
        <f t="shared" si="19"/>
        <v>17555999.999999996</v>
      </c>
      <c r="H78" s="4">
        <f t="shared" si="19"/>
        <v>17555999.999999996</v>
      </c>
      <c r="I78" s="4">
        <f t="shared" si="19"/>
        <v>17555999.999999996</v>
      </c>
      <c r="J78" s="4">
        <f t="shared" si="19"/>
        <v>17555999.999999996</v>
      </c>
      <c r="K78" s="4">
        <f t="shared" si="19"/>
        <v>17555999.999999996</v>
      </c>
      <c r="L78" s="4">
        <f t="shared" si="19"/>
        <v>17555999.999999996</v>
      </c>
      <c r="M78" s="4">
        <f t="shared" si="19"/>
        <v>17555999.999999996</v>
      </c>
      <c r="N78" s="4">
        <f t="shared" si="19"/>
        <v>17555999.999999996</v>
      </c>
      <c r="O78" s="4">
        <f t="shared" si="19"/>
        <v>17555999.999999996</v>
      </c>
    </row>
    <row r="79" spans="1:15" s="170" customFormat="1" thickBot="1">
      <c r="A79" s="170" t="s">
        <v>126</v>
      </c>
      <c r="D79" s="171">
        <f>D78-D77</f>
        <v>1821446.1529356018</v>
      </c>
      <c r="E79" s="171">
        <f t="shared" ref="E79:M79" si="20">E78-E77</f>
        <v>1957446.1529356018</v>
      </c>
      <c r="F79" s="171">
        <f t="shared" si="20"/>
        <v>2093446.1529356018</v>
      </c>
      <c r="G79" s="171">
        <f t="shared" si="20"/>
        <v>2229446.1529356018</v>
      </c>
      <c r="H79" s="171">
        <f t="shared" si="20"/>
        <v>2365446.1529356018</v>
      </c>
      <c r="I79" s="171">
        <f t="shared" si="20"/>
        <v>-7018553.8470643982</v>
      </c>
      <c r="J79" s="171">
        <f t="shared" si="20"/>
        <v>2637446.1529356018</v>
      </c>
      <c r="K79" s="171">
        <f t="shared" si="20"/>
        <v>2773446.1529356018</v>
      </c>
      <c r="L79" s="171">
        <f t="shared" si="20"/>
        <v>2909446.1529356018</v>
      </c>
      <c r="M79" s="171">
        <f t="shared" si="20"/>
        <v>3045446.1529356018</v>
      </c>
      <c r="N79" s="171">
        <f t="shared" ref="N79:O79" si="21">N78-N77</f>
        <v>3397446.1529356018</v>
      </c>
      <c r="O79" s="171">
        <f t="shared" si="21"/>
        <v>3533446.1529356018</v>
      </c>
    </row>
    <row r="80" spans="1:15" s="29" customFormat="1" ht="14">
      <c r="C80" s="29">
        <v>0</v>
      </c>
      <c r="D80" s="29">
        <v>1</v>
      </c>
      <c r="E80" s="29">
        <v>2</v>
      </c>
      <c r="F80" s="29">
        <v>3</v>
      </c>
      <c r="G80" s="29">
        <v>4</v>
      </c>
      <c r="H80" s="29">
        <v>5</v>
      </c>
      <c r="I80" s="29">
        <v>6</v>
      </c>
      <c r="J80" s="29">
        <v>7</v>
      </c>
      <c r="K80" s="29">
        <v>8</v>
      </c>
      <c r="L80" s="29">
        <v>9</v>
      </c>
      <c r="M80" s="29">
        <v>10</v>
      </c>
      <c r="N80" s="29">
        <v>11</v>
      </c>
      <c r="O80" s="29">
        <v>12</v>
      </c>
    </row>
    <row r="81" spans="3:15" s="195" customFormat="1" ht="14">
      <c r="D81" s="195">
        <f t="shared" ref="D81:O81" si="22">(D79)/(1+$C$13)^D80</f>
        <v>1626291.2079782158</v>
      </c>
      <c r="E81" s="195">
        <f t="shared" si="22"/>
        <v>1560464.0887560598</v>
      </c>
      <c r="F81" s="195">
        <f t="shared" si="22"/>
        <v>1490073.6215205344</v>
      </c>
      <c r="G81" s="195">
        <f t="shared" si="22"/>
        <v>1416853.335020677</v>
      </c>
      <c r="H81" s="195">
        <f t="shared" si="22"/>
        <v>1342217.6729319054</v>
      </c>
      <c r="I81" s="195">
        <f t="shared" si="22"/>
        <v>-3555817.8045816333</v>
      </c>
      <c r="J81" s="195">
        <f t="shared" si="22"/>
        <v>1193046.6977737278</v>
      </c>
      <c r="K81" s="195">
        <f t="shared" si="22"/>
        <v>1120148.3848745939</v>
      </c>
      <c r="L81" s="195">
        <f t="shared" si="22"/>
        <v>1049175.4498926678</v>
      </c>
      <c r="M81" s="195">
        <f t="shared" si="22"/>
        <v>980552.1547233595</v>
      </c>
      <c r="N81" s="195">
        <f t="shared" si="22"/>
        <v>976684.58393150382</v>
      </c>
      <c r="O81" s="195">
        <f t="shared" si="22"/>
        <v>906947.61972227285</v>
      </c>
    </row>
    <row r="82" spans="3:15" s="29" customFormat="1" thickBot="1"/>
    <row r="83" spans="3:15" ht="16" thickBot="1">
      <c r="C83" s="216" t="s">
        <v>130</v>
      </c>
      <c r="D83" s="239">
        <f>SUM(D81:M81)-C64</f>
        <v>8223004.808890108</v>
      </c>
    </row>
  </sheetData>
  <pageMargins left="0.75" right="0.75" top="1" bottom="1" header="0.5" footer="0.5"/>
  <pageSetup orientation="portrait" horizontalDpi="4294967292" verticalDpi="4294967292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76"/>
  <sheetViews>
    <sheetView zoomScale="125" zoomScaleNormal="125" zoomScalePageLayoutView="125" workbookViewId="0">
      <pane xSplit="2" ySplit="13" topLeftCell="C14" activePane="bottomRight" state="frozen"/>
      <selection pane="topRight" activeCell="C1" sqref="C1"/>
      <selection pane="bottomLeft" activeCell="A14" sqref="A14"/>
      <selection pane="bottomRight" activeCell="B10" sqref="B10"/>
    </sheetView>
  </sheetViews>
  <sheetFormatPr baseColWidth="10" defaultRowHeight="15" x14ac:dyDescent="0"/>
  <cols>
    <col min="1" max="1" width="40" customWidth="1"/>
    <col min="2" max="2" width="9" customWidth="1"/>
    <col min="3" max="3" width="12.83203125" bestFit="1" customWidth="1"/>
    <col min="4" max="4" width="13.83203125" bestFit="1" customWidth="1"/>
    <col min="5" max="8" width="12.5" customWidth="1"/>
    <col min="9" max="12" width="12" bestFit="1" customWidth="1"/>
    <col min="13" max="13" width="12.83203125" customWidth="1"/>
    <col min="14" max="15" width="12.5" customWidth="1"/>
  </cols>
  <sheetData>
    <row r="1" spans="1:9" ht="20">
      <c r="A1" s="27" t="s">
        <v>129</v>
      </c>
      <c r="B1">
        <v>12</v>
      </c>
    </row>
    <row r="2" spans="1:9" s="29" customFormat="1" ht="14">
      <c r="A2" s="29" t="s">
        <v>33</v>
      </c>
      <c r="B2" s="29">
        <v>100</v>
      </c>
    </row>
    <row r="3" spans="1:9" s="29" customFormat="1" ht="14">
      <c r="A3" s="29" t="s">
        <v>58</v>
      </c>
      <c r="B3" s="4">
        <f>'Costos Unitarios'!C4</f>
        <v>190000</v>
      </c>
      <c r="D3" s="4"/>
      <c r="E3" s="4"/>
      <c r="F3" s="4"/>
      <c r="G3" s="4"/>
      <c r="H3" s="4"/>
      <c r="I3" s="4"/>
    </row>
    <row r="4" spans="1:9" s="29" customFormat="1" ht="14">
      <c r="A4" s="29" t="s">
        <v>146</v>
      </c>
      <c r="B4" s="29">
        <v>10</v>
      </c>
      <c r="D4" s="4"/>
      <c r="E4" s="4"/>
      <c r="F4" s="4"/>
      <c r="G4" s="4"/>
      <c r="H4" s="4"/>
      <c r="I4" s="4"/>
    </row>
    <row r="5" spans="1:9" s="29" customFormat="1" ht="14">
      <c r="A5" s="193" t="s">
        <v>144</v>
      </c>
      <c r="B5" s="194">
        <v>0.06</v>
      </c>
      <c r="D5" s="4"/>
      <c r="E5" s="4"/>
      <c r="F5" s="4"/>
      <c r="G5" s="4"/>
      <c r="H5" s="4"/>
      <c r="I5" s="4"/>
    </row>
    <row r="6" spans="1:9" s="29" customFormat="1" ht="14">
      <c r="A6" s="29" t="s">
        <v>148</v>
      </c>
      <c r="B6" s="183">
        <v>1500</v>
      </c>
      <c r="D6" s="4"/>
      <c r="E6" s="4"/>
      <c r="F6" s="4"/>
      <c r="G6" s="4"/>
      <c r="H6" s="4"/>
      <c r="I6" s="4"/>
    </row>
    <row r="7" spans="1:9" s="29" customFormat="1" ht="14">
      <c r="A7" s="29" t="s">
        <v>147</v>
      </c>
      <c r="B7" s="183">
        <v>8</v>
      </c>
      <c r="D7" s="4"/>
      <c r="E7" s="4"/>
      <c r="F7" s="4"/>
      <c r="G7" s="4"/>
      <c r="H7" s="4"/>
      <c r="I7" s="4"/>
    </row>
    <row r="8" spans="1:9" s="29" customFormat="1" ht="14">
      <c r="A8" s="29" t="s">
        <v>155</v>
      </c>
      <c r="B8" s="183">
        <v>1500</v>
      </c>
      <c r="D8" s="4"/>
      <c r="E8" s="4"/>
      <c r="F8" s="4"/>
      <c r="G8" s="4"/>
      <c r="H8" s="4"/>
      <c r="I8" s="4"/>
    </row>
    <row r="9" spans="1:9" s="29" customFormat="1" ht="14">
      <c r="A9" s="29" t="s">
        <v>128</v>
      </c>
      <c r="B9" s="172">
        <v>0.12</v>
      </c>
      <c r="D9" s="4"/>
      <c r="E9" s="4"/>
      <c r="F9" s="4"/>
      <c r="G9" s="4"/>
      <c r="H9" s="4"/>
      <c r="I9" s="4"/>
    </row>
    <row r="10" spans="1:9" s="29" customFormat="1" ht="14">
      <c r="A10" s="29" t="s">
        <v>159</v>
      </c>
      <c r="B10" s="183">
        <v>270000</v>
      </c>
      <c r="D10" s="4"/>
      <c r="E10" s="4"/>
      <c r="F10" s="4"/>
      <c r="G10" s="4"/>
      <c r="H10" s="4"/>
      <c r="I10" s="4"/>
    </row>
    <row r="11" spans="1:9" s="29" customFormat="1" ht="14"/>
    <row r="12" spans="1:9" s="29" customFormat="1" ht="18">
      <c r="A12" s="189" t="s">
        <v>151</v>
      </c>
    </row>
    <row r="13" spans="1:9" s="4" customFormat="1" ht="14">
      <c r="A13" s="11" t="s">
        <v>21</v>
      </c>
      <c r="B13" s="6" t="s">
        <v>16</v>
      </c>
      <c r="C13" s="6" t="s">
        <v>45</v>
      </c>
      <c r="D13" s="6" t="s">
        <v>46</v>
      </c>
      <c r="E13" s="6" t="s">
        <v>47</v>
      </c>
      <c r="F13" s="6" t="s">
        <v>48</v>
      </c>
      <c r="G13" s="6" t="s">
        <v>49</v>
      </c>
      <c r="H13" s="6" t="s">
        <v>50</v>
      </c>
    </row>
    <row r="14" spans="1:9" s="4" customFormat="1" ht="14">
      <c r="A14" s="4" t="s">
        <v>61</v>
      </c>
      <c r="B14" s="6" t="s">
        <v>17</v>
      </c>
      <c r="C14" s="6">
        <f>$B$3</f>
        <v>190000</v>
      </c>
      <c r="D14" s="6"/>
      <c r="E14" s="6"/>
      <c r="F14" s="6"/>
      <c r="G14" s="6"/>
      <c r="H14" s="6"/>
    </row>
    <row r="15" spans="1:9" s="4" customFormat="1" ht="14">
      <c r="A15" s="4" t="s">
        <v>59</v>
      </c>
      <c r="B15" s="6" t="s">
        <v>17</v>
      </c>
      <c r="C15" s="6"/>
      <c r="D15" s="6"/>
      <c r="E15" s="6"/>
      <c r="F15" s="6"/>
      <c r="G15" s="6"/>
      <c r="H15" s="6"/>
    </row>
    <row r="16" spans="1:9" s="4" customFormat="1" ht="14">
      <c r="A16" s="4" t="s">
        <v>60</v>
      </c>
      <c r="B16" s="6" t="s">
        <v>17</v>
      </c>
      <c r="C16" s="6"/>
      <c r="D16" s="6"/>
      <c r="E16" s="6"/>
      <c r="F16" s="6"/>
      <c r="G16" s="6"/>
      <c r="H16" s="6"/>
    </row>
    <row r="17" spans="1:8" s="4" customFormat="1" ht="14">
      <c r="A17" s="166" t="s">
        <v>145</v>
      </c>
      <c r="B17" s="167" t="s">
        <v>17</v>
      </c>
      <c r="C17" s="6"/>
      <c r="D17" s="6"/>
      <c r="E17" s="6"/>
      <c r="F17" s="6"/>
      <c r="G17" s="6"/>
      <c r="H17" s="6"/>
    </row>
    <row r="18" spans="1:8" s="5" customFormat="1" ht="14">
      <c r="A18" s="166" t="s">
        <v>120</v>
      </c>
      <c r="B18" s="167" t="s">
        <v>17</v>
      </c>
      <c r="C18" s="7"/>
      <c r="D18" s="6">
        <f>'Costos Unitarios'!$C$17*Diesel!$B$2</f>
        <v>4687500.0000000009</v>
      </c>
      <c r="E18" s="6">
        <f>'Costos Unitarios'!$C$17*Diesel!$B$2</f>
        <v>4687500.0000000009</v>
      </c>
      <c r="F18" s="6">
        <f>'Costos Unitarios'!$C$17*Diesel!$B$2</f>
        <v>4687500.0000000009</v>
      </c>
      <c r="G18" s="6">
        <f>'Costos Unitarios'!$C$17*Diesel!$B$2</f>
        <v>4687500.0000000009</v>
      </c>
      <c r="H18" s="6">
        <f>'Costos Unitarios'!$C$17*Diesel!$B$2</f>
        <v>4687500.0000000009</v>
      </c>
    </row>
    <row r="19" spans="1:8" s="5" customFormat="1" ht="14">
      <c r="A19" s="166" t="s">
        <v>121</v>
      </c>
      <c r="B19" s="167" t="s">
        <v>17</v>
      </c>
      <c r="C19" s="7"/>
      <c r="D19" s="6">
        <f>'Costos Unitarios'!$C$22</f>
        <v>0</v>
      </c>
      <c r="E19" s="6">
        <f>'Costos Unitarios'!$C$22</f>
        <v>0</v>
      </c>
      <c r="F19" s="6">
        <f>'Costos Unitarios'!$C$22</f>
        <v>0</v>
      </c>
      <c r="G19" s="6">
        <f>'Costos Unitarios'!$C$22</f>
        <v>0</v>
      </c>
      <c r="H19" s="6">
        <f>'Costos Unitarios'!$C$22</f>
        <v>0</v>
      </c>
    </row>
    <row r="20" spans="1:8" s="5" customFormat="1" ht="14">
      <c r="A20" s="166" t="s">
        <v>122</v>
      </c>
      <c r="B20" s="167" t="s">
        <v>17</v>
      </c>
      <c r="C20" s="7"/>
      <c r="D20" s="6">
        <f>'Costos Unitarios'!$C$27*Diesel!$B$2</f>
        <v>225449.21875</v>
      </c>
      <c r="E20" s="6">
        <f>'Costos Unitarios'!$C$27*Diesel!$B$2</f>
        <v>225449.21875</v>
      </c>
      <c r="F20" s="6">
        <f>'Costos Unitarios'!$C$27*Diesel!$B$2</f>
        <v>225449.21875</v>
      </c>
      <c r="G20" s="6">
        <f>'Costos Unitarios'!$C$27*Diesel!$B$2</f>
        <v>225449.21875</v>
      </c>
      <c r="H20" s="6">
        <f>'Costos Unitarios'!$C$27*Diesel!$B$2</f>
        <v>225449.21875</v>
      </c>
    </row>
    <row r="21" spans="1:8" s="5" customFormat="1" ht="14">
      <c r="A21" s="166" t="s">
        <v>123</v>
      </c>
      <c r="B21" s="167" t="s">
        <v>17</v>
      </c>
      <c r="C21" s="7"/>
      <c r="D21" s="6">
        <f>'Costos Unitarios'!$C$32*Diesel!$B$2</f>
        <v>2075062.5</v>
      </c>
      <c r="E21" s="6">
        <f>'Costos Unitarios'!$C$32*Diesel!$B$2</f>
        <v>2075062.5</v>
      </c>
      <c r="F21" s="6">
        <f>'Costos Unitarios'!$C$32*Diesel!$B$2</f>
        <v>2075062.5</v>
      </c>
      <c r="G21" s="6">
        <f>'Costos Unitarios'!$C$32*Diesel!$B$2</f>
        <v>2075062.5</v>
      </c>
      <c r="H21" s="6">
        <f>'Costos Unitarios'!$C$32*Diesel!$B$2</f>
        <v>2075062.5</v>
      </c>
    </row>
    <row r="22" spans="1:8" s="18" customFormat="1" ht="14">
      <c r="A22" s="166" t="s">
        <v>124</v>
      </c>
      <c r="B22" s="167" t="s">
        <v>17</v>
      </c>
      <c r="C22" s="7"/>
      <c r="D22" s="24">
        <v>0</v>
      </c>
      <c r="E22" s="24">
        <v>0</v>
      </c>
      <c r="F22" s="24">
        <v>0</v>
      </c>
      <c r="G22" s="24">
        <v>0</v>
      </c>
      <c r="H22" s="24">
        <v>0</v>
      </c>
    </row>
    <row r="23" spans="1:8" s="29" customFormat="1" ht="14">
      <c r="A23" s="166" t="s">
        <v>118</v>
      </c>
      <c r="B23" s="167" t="s">
        <v>17</v>
      </c>
      <c r="D23" s="6">
        <f>$B$6*$B$7*12</f>
        <v>144000</v>
      </c>
      <c r="E23" s="6">
        <f t="shared" ref="E23:H23" si="0">$B$6*$B$7*12</f>
        <v>144000</v>
      </c>
      <c r="F23" s="6">
        <f t="shared" si="0"/>
        <v>144000</v>
      </c>
      <c r="G23" s="6">
        <f t="shared" si="0"/>
        <v>144000</v>
      </c>
      <c r="H23" s="6">
        <f t="shared" si="0"/>
        <v>144000</v>
      </c>
    </row>
    <row r="24" spans="1:8" s="29" customFormat="1" ht="14">
      <c r="A24" s="166" t="s">
        <v>150</v>
      </c>
      <c r="B24" s="167" t="s">
        <v>17</v>
      </c>
      <c r="D24" s="6">
        <f>$B$8*$B$2*12</f>
        <v>1800000</v>
      </c>
      <c r="E24" s="6">
        <f t="shared" ref="E24:H24" si="1">$B$8*$B$2*12</f>
        <v>1800000</v>
      </c>
      <c r="F24" s="6">
        <f t="shared" si="1"/>
        <v>1800000</v>
      </c>
      <c r="G24" s="6">
        <f t="shared" si="1"/>
        <v>1800000</v>
      </c>
      <c r="H24" s="6">
        <f t="shared" si="1"/>
        <v>1800000</v>
      </c>
    </row>
    <row r="25" spans="1:8" s="29" customFormat="1" ht="14">
      <c r="A25" s="166" t="s">
        <v>149</v>
      </c>
      <c r="B25" s="167" t="s">
        <v>17</v>
      </c>
      <c r="D25" s="6">
        <f>700*$B$2*12</f>
        <v>840000</v>
      </c>
      <c r="E25" s="6">
        <f t="shared" ref="E25:H25" si="2">700*$B$2*12</f>
        <v>840000</v>
      </c>
      <c r="F25" s="6">
        <f t="shared" si="2"/>
        <v>840000</v>
      </c>
      <c r="G25" s="6">
        <f t="shared" si="2"/>
        <v>840000</v>
      </c>
      <c r="H25" s="6">
        <f t="shared" si="2"/>
        <v>840000</v>
      </c>
    </row>
    <row r="26" spans="1:8" s="187" customFormat="1" ht="14">
      <c r="A26" s="185" t="s">
        <v>127</v>
      </c>
      <c r="B26" s="191" t="s">
        <v>17</v>
      </c>
      <c r="D26" s="188">
        <f>SUM(D14:D25)</f>
        <v>9772011.71875</v>
      </c>
      <c r="E26" s="188">
        <f t="shared" ref="E26:H26" si="3">SUM(E14:E25)</f>
        <v>9772011.71875</v>
      </c>
      <c r="F26" s="188">
        <f t="shared" si="3"/>
        <v>9772011.71875</v>
      </c>
      <c r="G26" s="188">
        <f t="shared" si="3"/>
        <v>9772011.71875</v>
      </c>
      <c r="H26" s="188">
        <f t="shared" si="3"/>
        <v>9772011.71875</v>
      </c>
    </row>
    <row r="27" spans="1:8" s="6" customFormat="1" thickBot="1">
      <c r="A27" s="6" t="s">
        <v>125</v>
      </c>
      <c r="B27" s="6" t="s">
        <v>17</v>
      </c>
      <c r="D27" s="6">
        <f>$B$10*$B$2</f>
        <v>27000000</v>
      </c>
      <c r="E27" s="6">
        <f t="shared" ref="E27:H27" si="4">$B$10*$B$2</f>
        <v>27000000</v>
      </c>
      <c r="F27" s="6">
        <f t="shared" si="4"/>
        <v>27000000</v>
      </c>
      <c r="G27" s="6">
        <f t="shared" si="4"/>
        <v>27000000</v>
      </c>
      <c r="H27" s="6">
        <f t="shared" si="4"/>
        <v>27000000</v>
      </c>
    </row>
    <row r="28" spans="1:8" s="170" customFormat="1" thickBot="1">
      <c r="A28" s="170" t="s">
        <v>126</v>
      </c>
      <c r="B28" s="192" t="s">
        <v>17</v>
      </c>
      <c r="D28" s="171">
        <f>D27-D26</f>
        <v>17227988.28125</v>
      </c>
      <c r="E28" s="171">
        <f t="shared" ref="E28:H28" si="5">E27-E26</f>
        <v>17227988.28125</v>
      </c>
      <c r="F28" s="171">
        <f t="shared" si="5"/>
        <v>17227988.28125</v>
      </c>
      <c r="G28" s="171">
        <f t="shared" si="5"/>
        <v>17227988.28125</v>
      </c>
      <c r="H28" s="171">
        <f t="shared" si="5"/>
        <v>17227988.28125</v>
      </c>
    </row>
    <row r="29" spans="1:8" s="29" customFormat="1" ht="14">
      <c r="C29" s="29">
        <v>0</v>
      </c>
      <c r="D29" s="29">
        <v>1</v>
      </c>
      <c r="E29" s="29">
        <v>2</v>
      </c>
      <c r="F29" s="29">
        <v>3</v>
      </c>
      <c r="G29" s="29">
        <v>4</v>
      </c>
      <c r="H29" s="29">
        <v>5</v>
      </c>
    </row>
    <row r="30" spans="1:8" s="29" customFormat="1" ht="14">
      <c r="D30" s="29">
        <f>(D28)/(1+$B$9)^D29</f>
        <v>15382132.393973213</v>
      </c>
      <c r="E30" s="29">
        <f t="shared" ref="E30:H30" si="6">(E28)/(1+$B$9)^E29</f>
        <v>13734046.780333225</v>
      </c>
      <c r="F30" s="29">
        <f t="shared" si="6"/>
        <v>12262541.768154664</v>
      </c>
      <c r="G30" s="29">
        <f t="shared" si="6"/>
        <v>10948698.00728095</v>
      </c>
      <c r="H30" s="29">
        <f t="shared" si="6"/>
        <v>9775623.2207865622</v>
      </c>
    </row>
    <row r="31" spans="1:8" s="29" customFormat="1" ht="14"/>
    <row r="32" spans="1:8">
      <c r="C32" t="s">
        <v>132</v>
      </c>
      <c r="D32" s="1">
        <f>SUM(D30:H30)-C14</f>
        <v>61913042.170528613</v>
      </c>
    </row>
    <row r="34" spans="1:13" ht="18">
      <c r="A34" s="189" t="s">
        <v>152</v>
      </c>
    </row>
    <row r="35" spans="1:13" s="4" customFormat="1" ht="14">
      <c r="A35" s="11" t="s">
        <v>21</v>
      </c>
      <c r="B35" s="6" t="s">
        <v>16</v>
      </c>
      <c r="C35" s="6" t="s">
        <v>45</v>
      </c>
      <c r="D35" s="6" t="s">
        <v>46</v>
      </c>
      <c r="E35" s="6" t="s">
        <v>47</v>
      </c>
      <c r="F35" s="6" t="s">
        <v>48</v>
      </c>
      <c r="G35" s="6" t="s">
        <v>49</v>
      </c>
      <c r="H35" s="6" t="s">
        <v>50</v>
      </c>
      <c r="I35" s="6" t="s">
        <v>51</v>
      </c>
      <c r="J35" s="6" t="s">
        <v>52</v>
      </c>
      <c r="K35" s="6" t="s">
        <v>53</v>
      </c>
      <c r="L35" s="6" t="s">
        <v>54</v>
      </c>
      <c r="M35" s="6" t="s">
        <v>55</v>
      </c>
    </row>
    <row r="36" spans="1:13" s="4" customFormat="1" ht="14">
      <c r="A36" s="4" t="s">
        <v>61</v>
      </c>
      <c r="B36" s="6" t="s">
        <v>17</v>
      </c>
      <c r="C36" s="6">
        <f>$B$3</f>
        <v>190000</v>
      </c>
      <c r="D36" s="6"/>
      <c r="E36" s="6"/>
      <c r="F36" s="6"/>
      <c r="G36" s="6"/>
      <c r="H36" s="6"/>
      <c r="I36" s="6"/>
      <c r="J36" s="6"/>
      <c r="K36" s="6"/>
      <c r="L36" s="6"/>
      <c r="M36" s="6"/>
    </row>
    <row r="37" spans="1:13" s="4" customFormat="1" ht="14">
      <c r="A37" s="4" t="s">
        <v>59</v>
      </c>
      <c r="B37" s="6" t="s">
        <v>17</v>
      </c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</row>
    <row r="38" spans="1:13" s="4" customFormat="1" ht="14">
      <c r="A38" s="4" t="s">
        <v>60</v>
      </c>
      <c r="B38" s="6" t="s">
        <v>17</v>
      </c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</row>
    <row r="39" spans="1:13" s="4" customFormat="1" ht="14">
      <c r="A39" s="166" t="s">
        <v>145</v>
      </c>
      <c r="B39" s="167" t="s">
        <v>17</v>
      </c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</row>
    <row r="40" spans="1:13" s="5" customFormat="1" ht="14">
      <c r="A40" s="166" t="s">
        <v>120</v>
      </c>
      <c r="B40" s="167" t="s">
        <v>17</v>
      </c>
      <c r="C40" s="7"/>
      <c r="D40" s="6">
        <f>'Costos Unitarios'!$C$17*Diesel!$B$2</f>
        <v>4687500.0000000009</v>
      </c>
      <c r="E40" s="6">
        <f>'Costos Unitarios'!$C$17*Diesel!$B$2</f>
        <v>4687500.0000000009</v>
      </c>
      <c r="F40" s="6">
        <f>'Costos Unitarios'!$C$17*Diesel!$B$2</f>
        <v>4687500.0000000009</v>
      </c>
      <c r="G40" s="6">
        <f>'Costos Unitarios'!$C$17*Diesel!$B$2</f>
        <v>4687500.0000000009</v>
      </c>
      <c r="H40" s="6">
        <f>'Costos Unitarios'!$C$17*Diesel!$B$2</f>
        <v>4687500.0000000009</v>
      </c>
      <c r="I40" s="6">
        <f>'Costos Unitarios'!$C$17*Diesel!$B$2</f>
        <v>4687500.0000000009</v>
      </c>
      <c r="J40" s="6">
        <f>'Costos Unitarios'!$C$17*Diesel!$B$2</f>
        <v>4687500.0000000009</v>
      </c>
      <c r="K40" s="6">
        <f>'Costos Unitarios'!$C$17*Diesel!$B$2</f>
        <v>4687500.0000000009</v>
      </c>
      <c r="L40" s="6">
        <f>'Costos Unitarios'!$C$17*Diesel!$B$2</f>
        <v>4687500.0000000009</v>
      </c>
      <c r="M40" s="6">
        <f>'Costos Unitarios'!$C$17*Diesel!$B$2</f>
        <v>4687500.0000000009</v>
      </c>
    </row>
    <row r="41" spans="1:13" s="5" customFormat="1" ht="14">
      <c r="A41" s="166" t="s">
        <v>121</v>
      </c>
      <c r="B41" s="167" t="s">
        <v>17</v>
      </c>
      <c r="C41" s="7"/>
      <c r="D41" s="6">
        <f>'Costos Unitarios'!$C$22</f>
        <v>0</v>
      </c>
      <c r="E41" s="6">
        <f>'Costos Unitarios'!$C$22</f>
        <v>0</v>
      </c>
      <c r="F41" s="6">
        <f>'Costos Unitarios'!$C$22</f>
        <v>0</v>
      </c>
      <c r="G41" s="6">
        <f>'Costos Unitarios'!$C$22</f>
        <v>0</v>
      </c>
      <c r="H41" s="6">
        <f>'Costos Unitarios'!$C$22</f>
        <v>0</v>
      </c>
      <c r="I41" s="6">
        <f>'Costos Unitarios'!$C$22</f>
        <v>0</v>
      </c>
      <c r="J41" s="6">
        <f>'Costos Unitarios'!$C$22</f>
        <v>0</v>
      </c>
      <c r="K41" s="6">
        <f>'Costos Unitarios'!$C$22</f>
        <v>0</v>
      </c>
      <c r="L41" s="6">
        <f>'Costos Unitarios'!$C$22</f>
        <v>0</v>
      </c>
      <c r="M41" s="6">
        <f>'Costos Unitarios'!$C$22</f>
        <v>0</v>
      </c>
    </row>
    <row r="42" spans="1:13" s="5" customFormat="1" ht="14">
      <c r="A42" s="166" t="s">
        <v>122</v>
      </c>
      <c r="B42" s="167" t="s">
        <v>17</v>
      </c>
      <c r="C42" s="7"/>
      <c r="D42" s="6">
        <f>'Costos Unitarios'!$C$27*Diesel!$B$2</f>
        <v>225449.21875</v>
      </c>
      <c r="E42" s="6">
        <f>'Costos Unitarios'!$C$27*Diesel!$B$2</f>
        <v>225449.21875</v>
      </c>
      <c r="F42" s="6">
        <f>'Costos Unitarios'!$C$27*Diesel!$B$2</f>
        <v>225449.21875</v>
      </c>
      <c r="G42" s="6">
        <f>'Costos Unitarios'!$C$27*Diesel!$B$2</f>
        <v>225449.21875</v>
      </c>
      <c r="H42" s="6">
        <f>'Costos Unitarios'!$C$27*Diesel!$B$2</f>
        <v>225449.21875</v>
      </c>
      <c r="I42" s="6">
        <f>'Costos Unitarios'!$C$27*Diesel!$B$2</f>
        <v>225449.21875</v>
      </c>
      <c r="J42" s="6">
        <f>'Costos Unitarios'!$C$27*Diesel!$B$2</f>
        <v>225449.21875</v>
      </c>
      <c r="K42" s="6">
        <f>'Costos Unitarios'!$C$27*Diesel!$B$2</f>
        <v>225449.21875</v>
      </c>
      <c r="L42" s="6">
        <f>'Costos Unitarios'!$C$27*Diesel!$B$2</f>
        <v>225449.21875</v>
      </c>
      <c r="M42" s="6">
        <f>'Costos Unitarios'!$C$27*Diesel!$B$2</f>
        <v>225449.21875</v>
      </c>
    </row>
    <row r="43" spans="1:13" s="5" customFormat="1" ht="14">
      <c r="A43" s="166" t="s">
        <v>123</v>
      </c>
      <c r="B43" s="167" t="s">
        <v>17</v>
      </c>
      <c r="C43" s="7"/>
      <c r="D43" s="6">
        <f>'Costos Unitarios'!$C$32*Diesel!$B$2</f>
        <v>2075062.5</v>
      </c>
      <c r="E43" s="6">
        <f>'Costos Unitarios'!$C$32*Diesel!$B$2</f>
        <v>2075062.5</v>
      </c>
      <c r="F43" s="6">
        <f>'Costos Unitarios'!$C$32*Diesel!$B$2</f>
        <v>2075062.5</v>
      </c>
      <c r="G43" s="6">
        <f>'Costos Unitarios'!$C$32*Diesel!$B$2</f>
        <v>2075062.5</v>
      </c>
      <c r="H43" s="6">
        <f>'Costos Unitarios'!$C$32*Diesel!$B$2</f>
        <v>2075062.5</v>
      </c>
      <c r="I43" s="6">
        <f>'Costos Unitarios'!$C$32*Diesel!$B$2</f>
        <v>2075062.5</v>
      </c>
      <c r="J43" s="6">
        <f>'Costos Unitarios'!$C$32*Diesel!$B$2</f>
        <v>2075062.5</v>
      </c>
      <c r="K43" s="6">
        <f>'Costos Unitarios'!$C$32*Diesel!$B$2</f>
        <v>2075062.5</v>
      </c>
      <c r="L43" s="6">
        <f>'Costos Unitarios'!$C$32*Diesel!$B$2</f>
        <v>2075062.5</v>
      </c>
      <c r="M43" s="6">
        <f>'Costos Unitarios'!$C$32*Diesel!$B$2</f>
        <v>2075062.5</v>
      </c>
    </row>
    <row r="44" spans="1:13" s="18" customFormat="1" ht="14">
      <c r="A44" s="166" t="s">
        <v>153</v>
      </c>
      <c r="B44" s="167" t="s">
        <v>17</v>
      </c>
      <c r="C44" s="7"/>
      <c r="D44" s="24">
        <v>0</v>
      </c>
      <c r="E44" s="24">
        <v>0</v>
      </c>
      <c r="F44" s="24">
        <v>0</v>
      </c>
      <c r="G44" s="24">
        <v>0</v>
      </c>
      <c r="H44" s="24">
        <v>0</v>
      </c>
      <c r="I44" s="24">
        <v>0</v>
      </c>
      <c r="J44" s="24">
        <v>0</v>
      </c>
      <c r="K44" s="24">
        <v>0</v>
      </c>
      <c r="L44" s="24">
        <v>0</v>
      </c>
      <c r="M44" s="24">
        <v>0</v>
      </c>
    </row>
    <row r="45" spans="1:13" s="29" customFormat="1" ht="14">
      <c r="A45" s="166" t="s">
        <v>118</v>
      </c>
      <c r="B45" s="167" t="s">
        <v>17</v>
      </c>
      <c r="D45" s="6">
        <f>$B$6*$B$7*12</f>
        <v>144000</v>
      </c>
      <c r="E45" s="6">
        <f t="shared" ref="E45:M45" si="7">$B$6*$B$7*12</f>
        <v>144000</v>
      </c>
      <c r="F45" s="6">
        <f t="shared" si="7"/>
        <v>144000</v>
      </c>
      <c r="G45" s="6">
        <f t="shared" si="7"/>
        <v>144000</v>
      </c>
      <c r="H45" s="6">
        <f t="shared" si="7"/>
        <v>144000</v>
      </c>
      <c r="I45" s="6">
        <f t="shared" si="7"/>
        <v>144000</v>
      </c>
      <c r="J45" s="6">
        <f t="shared" si="7"/>
        <v>144000</v>
      </c>
      <c r="K45" s="6">
        <f t="shared" si="7"/>
        <v>144000</v>
      </c>
      <c r="L45" s="6">
        <f t="shared" si="7"/>
        <v>144000</v>
      </c>
      <c r="M45" s="6">
        <f t="shared" si="7"/>
        <v>144000</v>
      </c>
    </row>
    <row r="46" spans="1:13" s="29" customFormat="1" ht="14">
      <c r="A46" s="166" t="s">
        <v>150</v>
      </c>
      <c r="B46" s="167"/>
      <c r="D46" s="6">
        <f>$B$8*$B$2*12</f>
        <v>1800000</v>
      </c>
      <c r="E46" s="6">
        <f t="shared" ref="E46:M46" si="8">$B$8*$B$2*12</f>
        <v>1800000</v>
      </c>
      <c r="F46" s="6">
        <f t="shared" si="8"/>
        <v>1800000</v>
      </c>
      <c r="G46" s="6">
        <f t="shared" si="8"/>
        <v>1800000</v>
      </c>
      <c r="H46" s="6">
        <f t="shared" si="8"/>
        <v>1800000</v>
      </c>
      <c r="I46" s="6">
        <f t="shared" si="8"/>
        <v>1800000</v>
      </c>
      <c r="J46" s="6">
        <f t="shared" si="8"/>
        <v>1800000</v>
      </c>
      <c r="K46" s="6">
        <f t="shared" si="8"/>
        <v>1800000</v>
      </c>
      <c r="L46" s="6">
        <f t="shared" si="8"/>
        <v>1800000</v>
      </c>
      <c r="M46" s="6">
        <f t="shared" si="8"/>
        <v>1800000</v>
      </c>
    </row>
    <row r="47" spans="1:13" s="29" customFormat="1" ht="14">
      <c r="A47" s="166" t="s">
        <v>149</v>
      </c>
      <c r="B47" s="167"/>
      <c r="D47" s="6">
        <f>700*$B$2*12</f>
        <v>840000</v>
      </c>
      <c r="E47" s="6">
        <f t="shared" ref="E47:M47" si="9">700*$B$2*12</f>
        <v>840000</v>
      </c>
      <c r="F47" s="6">
        <f t="shared" si="9"/>
        <v>840000</v>
      </c>
      <c r="G47" s="6">
        <f t="shared" si="9"/>
        <v>840000</v>
      </c>
      <c r="H47" s="6">
        <f t="shared" si="9"/>
        <v>840000</v>
      </c>
      <c r="I47" s="6">
        <f t="shared" si="9"/>
        <v>840000</v>
      </c>
      <c r="J47" s="6">
        <f t="shared" si="9"/>
        <v>840000</v>
      </c>
      <c r="K47" s="6">
        <f t="shared" si="9"/>
        <v>840000</v>
      </c>
      <c r="L47" s="6">
        <f t="shared" si="9"/>
        <v>840000</v>
      </c>
      <c r="M47" s="6">
        <f t="shared" si="9"/>
        <v>840000</v>
      </c>
    </row>
    <row r="48" spans="1:13" s="187" customFormat="1" ht="14">
      <c r="A48" s="184" t="s">
        <v>127</v>
      </c>
      <c r="B48" s="186"/>
      <c r="D48" s="188">
        <f>SUM(D36:D47)</f>
        <v>9772011.71875</v>
      </c>
      <c r="E48" s="188">
        <f t="shared" ref="E48:H48" si="10">SUM(E36:E47)</f>
        <v>9772011.71875</v>
      </c>
      <c r="F48" s="188">
        <f t="shared" si="10"/>
        <v>9772011.71875</v>
      </c>
      <c r="G48" s="188">
        <f t="shared" si="10"/>
        <v>9772011.71875</v>
      </c>
      <c r="H48" s="188">
        <f t="shared" si="10"/>
        <v>9772011.71875</v>
      </c>
      <c r="I48" s="188">
        <f t="shared" ref="I48:M48" si="11">SUM(I36:I47)</f>
        <v>9772011.71875</v>
      </c>
      <c r="J48" s="188">
        <f t="shared" si="11"/>
        <v>9772011.71875</v>
      </c>
      <c r="K48" s="188">
        <f t="shared" si="11"/>
        <v>9772011.71875</v>
      </c>
      <c r="L48" s="188">
        <f t="shared" si="11"/>
        <v>9772011.71875</v>
      </c>
      <c r="M48" s="188">
        <f t="shared" si="11"/>
        <v>9772011.71875</v>
      </c>
    </row>
    <row r="49" spans="1:15" s="4" customFormat="1" thickBot="1">
      <c r="A49" s="4" t="s">
        <v>125</v>
      </c>
      <c r="C49" s="6"/>
      <c r="D49" s="6">
        <f>$B$10*$B$2</f>
        <v>27000000</v>
      </c>
      <c r="E49" s="6">
        <f t="shared" ref="E49:M49" si="12">$B$10*$B$2</f>
        <v>27000000</v>
      </c>
      <c r="F49" s="6">
        <f t="shared" si="12"/>
        <v>27000000</v>
      </c>
      <c r="G49" s="6">
        <f t="shared" si="12"/>
        <v>27000000</v>
      </c>
      <c r="H49" s="6">
        <f t="shared" si="12"/>
        <v>27000000</v>
      </c>
      <c r="I49" s="6">
        <f t="shared" si="12"/>
        <v>27000000</v>
      </c>
      <c r="J49" s="6">
        <f t="shared" si="12"/>
        <v>27000000</v>
      </c>
      <c r="K49" s="6">
        <f t="shared" si="12"/>
        <v>27000000</v>
      </c>
      <c r="L49" s="6">
        <f t="shared" si="12"/>
        <v>27000000</v>
      </c>
      <c r="M49" s="6">
        <f t="shared" si="12"/>
        <v>27000000</v>
      </c>
    </row>
    <row r="50" spans="1:15" s="170" customFormat="1" thickBot="1">
      <c r="A50" s="170" t="s">
        <v>126</v>
      </c>
      <c r="D50" s="171">
        <f>D49-D48</f>
        <v>17227988.28125</v>
      </c>
      <c r="E50" s="171">
        <f t="shared" ref="E50:M50" si="13">E49-E48</f>
        <v>17227988.28125</v>
      </c>
      <c r="F50" s="171">
        <f t="shared" si="13"/>
        <v>17227988.28125</v>
      </c>
      <c r="G50" s="171">
        <f t="shared" si="13"/>
        <v>17227988.28125</v>
      </c>
      <c r="H50" s="171">
        <f t="shared" si="13"/>
        <v>17227988.28125</v>
      </c>
      <c r="I50" s="171">
        <f t="shared" si="13"/>
        <v>17227988.28125</v>
      </c>
      <c r="J50" s="171">
        <f t="shared" si="13"/>
        <v>17227988.28125</v>
      </c>
      <c r="K50" s="171">
        <f t="shared" si="13"/>
        <v>17227988.28125</v>
      </c>
      <c r="L50" s="171">
        <f t="shared" si="13"/>
        <v>17227988.28125</v>
      </c>
      <c r="M50" s="171">
        <f t="shared" si="13"/>
        <v>17227988.28125</v>
      </c>
    </row>
    <row r="51" spans="1:15" s="29" customFormat="1" ht="14">
      <c r="C51" s="29">
        <v>0</v>
      </c>
      <c r="D51" s="29">
        <v>1</v>
      </c>
      <c r="E51" s="29">
        <v>2</v>
      </c>
      <c r="F51" s="29">
        <v>3</v>
      </c>
      <c r="G51" s="29">
        <v>4</v>
      </c>
      <c r="H51" s="29">
        <v>5</v>
      </c>
      <c r="I51" s="29">
        <v>6</v>
      </c>
      <c r="J51" s="29">
        <v>7</v>
      </c>
      <c r="K51" s="29">
        <v>8</v>
      </c>
      <c r="L51" s="29">
        <v>9</v>
      </c>
      <c r="M51" s="29">
        <v>10</v>
      </c>
    </row>
    <row r="52" spans="1:15" s="29" customFormat="1" ht="14">
      <c r="D52" s="29">
        <f>(D50)/(1+$B$9)^D51</f>
        <v>15382132.393973213</v>
      </c>
      <c r="E52" s="29">
        <f t="shared" ref="E52:M52" si="14">(E50)/(1+$B$9)^E51</f>
        <v>13734046.780333225</v>
      </c>
      <c r="F52" s="29">
        <f t="shared" si="14"/>
        <v>12262541.768154664</v>
      </c>
      <c r="G52" s="29">
        <f t="shared" si="14"/>
        <v>10948698.00728095</v>
      </c>
      <c r="H52" s="29">
        <f t="shared" si="14"/>
        <v>9775623.2207865622</v>
      </c>
      <c r="I52" s="29">
        <f t="shared" si="14"/>
        <v>8728235.0185594298</v>
      </c>
      <c r="J52" s="29">
        <f t="shared" si="14"/>
        <v>7793066.9808566328</v>
      </c>
      <c r="K52" s="29">
        <f t="shared" si="14"/>
        <v>6958095.5186219933</v>
      </c>
      <c r="L52" s="29">
        <f t="shared" si="14"/>
        <v>6212585.2844839226</v>
      </c>
      <c r="M52" s="29">
        <f t="shared" si="14"/>
        <v>5546951.1468606442</v>
      </c>
    </row>
    <row r="53" spans="1:15" s="29" customFormat="1" ht="14"/>
    <row r="54" spans="1:15">
      <c r="C54" t="s">
        <v>131</v>
      </c>
      <c r="D54" s="1">
        <f>SUM(D52:M52)-C36</f>
        <v>97151976.119911239</v>
      </c>
    </row>
    <row r="56" spans="1:15" ht="18">
      <c r="A56" s="189" t="s">
        <v>154</v>
      </c>
    </row>
    <row r="57" spans="1:15" s="4" customFormat="1" ht="14">
      <c r="A57" s="11" t="s">
        <v>21</v>
      </c>
      <c r="B57" s="6" t="s">
        <v>16</v>
      </c>
      <c r="C57" s="6" t="s">
        <v>45</v>
      </c>
      <c r="D57" s="6" t="s">
        <v>46</v>
      </c>
      <c r="E57" s="6" t="s">
        <v>47</v>
      </c>
      <c r="F57" s="6" t="s">
        <v>48</v>
      </c>
      <c r="G57" s="6" t="s">
        <v>49</v>
      </c>
      <c r="H57" s="6" t="s">
        <v>50</v>
      </c>
      <c r="I57" s="6" t="s">
        <v>51</v>
      </c>
      <c r="J57" s="6" t="s">
        <v>52</v>
      </c>
      <c r="K57" s="6" t="s">
        <v>53</v>
      </c>
      <c r="L57" s="6" t="s">
        <v>54</v>
      </c>
      <c r="M57" s="6" t="s">
        <v>55</v>
      </c>
      <c r="N57" s="6" t="s">
        <v>56</v>
      </c>
      <c r="O57" s="6" t="s">
        <v>57</v>
      </c>
    </row>
    <row r="58" spans="1:15" s="4" customFormat="1" ht="14">
      <c r="A58" s="4" t="s">
        <v>61</v>
      </c>
      <c r="B58" s="6" t="s">
        <v>17</v>
      </c>
      <c r="C58" s="6">
        <f>$B$3</f>
        <v>190000</v>
      </c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</row>
    <row r="59" spans="1:15" s="4" customFormat="1" ht="14">
      <c r="A59" s="4" t="s">
        <v>59</v>
      </c>
      <c r="B59" s="6" t="s">
        <v>17</v>
      </c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</row>
    <row r="60" spans="1:15" s="4" customFormat="1" ht="14">
      <c r="A60" s="4" t="s">
        <v>60</v>
      </c>
      <c r="B60" s="6" t="s">
        <v>17</v>
      </c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</row>
    <row r="61" spans="1:15" s="4" customFormat="1" ht="14">
      <c r="A61" s="166" t="s">
        <v>145</v>
      </c>
      <c r="B61" s="167" t="s">
        <v>17</v>
      </c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</row>
    <row r="62" spans="1:15" s="5" customFormat="1" ht="14">
      <c r="A62" s="166" t="s">
        <v>120</v>
      </c>
      <c r="B62" s="167" t="s">
        <v>17</v>
      </c>
      <c r="C62" s="7"/>
      <c r="D62" s="6">
        <f>'Costos Unitarios'!$C$17*Diesel!$B$2</f>
        <v>4687500.0000000009</v>
      </c>
      <c r="E62" s="6">
        <f>'Costos Unitarios'!$C$17*Diesel!$B$2</f>
        <v>4687500.0000000009</v>
      </c>
      <c r="F62" s="6">
        <f>'Costos Unitarios'!$C$17*Diesel!$B$2</f>
        <v>4687500.0000000009</v>
      </c>
      <c r="G62" s="6">
        <f>'Costos Unitarios'!$C$17*Diesel!$B$2</f>
        <v>4687500.0000000009</v>
      </c>
      <c r="H62" s="6">
        <f>'Costos Unitarios'!$C$17*Diesel!$B$2</f>
        <v>4687500.0000000009</v>
      </c>
      <c r="I62" s="6">
        <f>'Costos Unitarios'!$C$17*Diesel!$B$2</f>
        <v>4687500.0000000009</v>
      </c>
      <c r="J62" s="6">
        <f>'Costos Unitarios'!$C$17*Diesel!$B$2</f>
        <v>4687500.0000000009</v>
      </c>
      <c r="K62" s="6">
        <f>'Costos Unitarios'!$C$17*Diesel!$B$2</f>
        <v>4687500.0000000009</v>
      </c>
      <c r="L62" s="6">
        <f>'Costos Unitarios'!$C$17*Diesel!$B$2</f>
        <v>4687500.0000000009</v>
      </c>
      <c r="M62" s="6">
        <f>'Costos Unitarios'!$C$17*Diesel!$B$2</f>
        <v>4687500.0000000009</v>
      </c>
      <c r="N62" s="6">
        <f>'Costos Unitarios'!$C$17*Diesel!$B$2</f>
        <v>4687500.0000000009</v>
      </c>
      <c r="O62" s="6">
        <f>'Costos Unitarios'!$C$17*Diesel!$B$2</f>
        <v>4687500.0000000009</v>
      </c>
    </row>
    <row r="63" spans="1:15" s="5" customFormat="1" ht="14">
      <c r="A63" s="166" t="s">
        <v>121</v>
      </c>
      <c r="B63" s="167" t="s">
        <v>17</v>
      </c>
      <c r="C63" s="7"/>
      <c r="D63" s="6">
        <f>'Costos Unitarios'!$C$22</f>
        <v>0</v>
      </c>
      <c r="E63" s="6">
        <f>'Costos Unitarios'!$C$22</f>
        <v>0</v>
      </c>
      <c r="F63" s="6">
        <f>'Costos Unitarios'!$C$22</f>
        <v>0</v>
      </c>
      <c r="G63" s="6">
        <f>'Costos Unitarios'!$C$22</f>
        <v>0</v>
      </c>
      <c r="H63" s="6">
        <f>'Costos Unitarios'!$C$22</f>
        <v>0</v>
      </c>
      <c r="I63" s="6">
        <f>'Costos Unitarios'!$C$22</f>
        <v>0</v>
      </c>
      <c r="J63" s="6">
        <f>'Costos Unitarios'!$C$22</f>
        <v>0</v>
      </c>
      <c r="K63" s="6">
        <f>'Costos Unitarios'!$C$22</f>
        <v>0</v>
      </c>
      <c r="L63" s="6">
        <f>'Costos Unitarios'!$C$22</f>
        <v>0</v>
      </c>
      <c r="M63" s="6">
        <f>'Costos Unitarios'!$C$22</f>
        <v>0</v>
      </c>
      <c r="N63" s="6">
        <f>'Costos Unitarios'!$C$22</f>
        <v>0</v>
      </c>
      <c r="O63" s="6">
        <f>'Costos Unitarios'!$C$22</f>
        <v>0</v>
      </c>
    </row>
    <row r="64" spans="1:15" s="5" customFormat="1" ht="14">
      <c r="A64" s="166" t="s">
        <v>122</v>
      </c>
      <c r="B64" s="167" t="s">
        <v>17</v>
      </c>
      <c r="C64" s="7"/>
      <c r="D64" s="6">
        <f>'Costos Unitarios'!$C$27*Diesel!$B$2</f>
        <v>225449.21875</v>
      </c>
      <c r="E64" s="6">
        <f>'Costos Unitarios'!$C$27*Diesel!$B$2</f>
        <v>225449.21875</v>
      </c>
      <c r="F64" s="6">
        <f>'Costos Unitarios'!$C$27*Diesel!$B$2</f>
        <v>225449.21875</v>
      </c>
      <c r="G64" s="6">
        <f>'Costos Unitarios'!$C$27*Diesel!$B$2</f>
        <v>225449.21875</v>
      </c>
      <c r="H64" s="6">
        <f>'Costos Unitarios'!$C$27*Diesel!$B$2</f>
        <v>225449.21875</v>
      </c>
      <c r="I64" s="6">
        <f>'Costos Unitarios'!$C$27*Diesel!$B$2</f>
        <v>225449.21875</v>
      </c>
      <c r="J64" s="6">
        <f>'Costos Unitarios'!$C$27*Diesel!$B$2</f>
        <v>225449.21875</v>
      </c>
      <c r="K64" s="6">
        <f>'Costos Unitarios'!$C$27*Diesel!$B$2</f>
        <v>225449.21875</v>
      </c>
      <c r="L64" s="6">
        <f>'Costos Unitarios'!$C$27*Diesel!$B$2</f>
        <v>225449.21875</v>
      </c>
      <c r="M64" s="6">
        <f>'Costos Unitarios'!$C$27*Diesel!$B$2</f>
        <v>225449.21875</v>
      </c>
      <c r="N64" s="6">
        <f>'Costos Unitarios'!$C$27*Diesel!$B$2</f>
        <v>225449.21875</v>
      </c>
      <c r="O64" s="6">
        <f>'Costos Unitarios'!$C$27*Diesel!$B$2</f>
        <v>225449.21875</v>
      </c>
    </row>
    <row r="65" spans="1:15" s="5" customFormat="1" ht="14">
      <c r="A65" s="166" t="s">
        <v>123</v>
      </c>
      <c r="B65" s="167" t="s">
        <v>17</v>
      </c>
      <c r="C65" s="7"/>
      <c r="D65" s="6">
        <f>'Costos Unitarios'!$C$32*Diesel!$B$2</f>
        <v>2075062.5</v>
      </c>
      <c r="E65" s="6">
        <f>'Costos Unitarios'!$C$32*Diesel!$B$2</f>
        <v>2075062.5</v>
      </c>
      <c r="F65" s="6">
        <f>'Costos Unitarios'!$C$32*Diesel!$B$2</f>
        <v>2075062.5</v>
      </c>
      <c r="G65" s="6">
        <f>'Costos Unitarios'!$C$32*Diesel!$B$2</f>
        <v>2075062.5</v>
      </c>
      <c r="H65" s="6">
        <f>'Costos Unitarios'!$C$32*Diesel!$B$2</f>
        <v>2075062.5</v>
      </c>
      <c r="I65" s="6">
        <f>'Costos Unitarios'!$C$32*Diesel!$B$2</f>
        <v>2075062.5</v>
      </c>
      <c r="J65" s="6">
        <f>'Costos Unitarios'!$C$32*Diesel!$B$2</f>
        <v>2075062.5</v>
      </c>
      <c r="K65" s="6">
        <f>'Costos Unitarios'!$C$32*Diesel!$B$2</f>
        <v>2075062.5</v>
      </c>
      <c r="L65" s="6">
        <f>'Costos Unitarios'!$C$32*Diesel!$B$2</f>
        <v>2075062.5</v>
      </c>
      <c r="M65" s="6">
        <f>'Costos Unitarios'!$C$32*Diesel!$B$2</f>
        <v>2075062.5</v>
      </c>
      <c r="N65" s="6">
        <f>'Costos Unitarios'!$C$32*Diesel!$B$2</f>
        <v>2075062.5</v>
      </c>
      <c r="O65" s="6">
        <f>'Costos Unitarios'!$C$32*Diesel!$B$2</f>
        <v>2075062.5</v>
      </c>
    </row>
    <row r="66" spans="1:15" s="18" customFormat="1" ht="14">
      <c r="A66" s="166" t="s">
        <v>153</v>
      </c>
      <c r="B66" s="167" t="s">
        <v>17</v>
      </c>
      <c r="C66" s="7"/>
      <c r="D66" s="24">
        <v>0</v>
      </c>
      <c r="E66" s="24">
        <v>0</v>
      </c>
      <c r="F66" s="24">
        <v>0</v>
      </c>
      <c r="G66" s="24">
        <v>0</v>
      </c>
      <c r="H66" s="24">
        <v>0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  <c r="O66" s="24">
        <v>0</v>
      </c>
    </row>
    <row r="67" spans="1:15" s="29" customFormat="1" ht="14">
      <c r="A67" s="166" t="s">
        <v>118</v>
      </c>
      <c r="B67" s="167" t="s">
        <v>17</v>
      </c>
      <c r="D67" s="6">
        <f>$B$6*$B$7*12</f>
        <v>144000</v>
      </c>
      <c r="E67" s="6">
        <f t="shared" ref="E67:O67" si="15">$B$6*$B$7*12</f>
        <v>144000</v>
      </c>
      <c r="F67" s="6">
        <f t="shared" si="15"/>
        <v>144000</v>
      </c>
      <c r="G67" s="6">
        <f t="shared" si="15"/>
        <v>144000</v>
      </c>
      <c r="H67" s="6">
        <f t="shared" si="15"/>
        <v>144000</v>
      </c>
      <c r="I67" s="6">
        <f t="shared" si="15"/>
        <v>144000</v>
      </c>
      <c r="J67" s="6">
        <f t="shared" si="15"/>
        <v>144000</v>
      </c>
      <c r="K67" s="6">
        <f t="shared" si="15"/>
        <v>144000</v>
      </c>
      <c r="L67" s="6">
        <f t="shared" si="15"/>
        <v>144000</v>
      </c>
      <c r="M67" s="6">
        <f t="shared" si="15"/>
        <v>144000</v>
      </c>
      <c r="N67" s="6">
        <f t="shared" si="15"/>
        <v>144000</v>
      </c>
      <c r="O67" s="6">
        <f t="shared" si="15"/>
        <v>144000</v>
      </c>
    </row>
    <row r="68" spans="1:15" s="29" customFormat="1" ht="14">
      <c r="A68" s="166" t="s">
        <v>150</v>
      </c>
      <c r="B68" s="167"/>
      <c r="D68" s="6">
        <f>$B$8*$B$2*12</f>
        <v>1800000</v>
      </c>
      <c r="E68" s="6">
        <f t="shared" ref="E68:O68" si="16">$B$8*$B$2*12</f>
        <v>1800000</v>
      </c>
      <c r="F68" s="6">
        <f t="shared" si="16"/>
        <v>1800000</v>
      </c>
      <c r="G68" s="6">
        <f t="shared" si="16"/>
        <v>1800000</v>
      </c>
      <c r="H68" s="6">
        <f t="shared" si="16"/>
        <v>1800000</v>
      </c>
      <c r="I68" s="6">
        <f t="shared" si="16"/>
        <v>1800000</v>
      </c>
      <c r="J68" s="6">
        <f t="shared" si="16"/>
        <v>1800000</v>
      </c>
      <c r="K68" s="6">
        <f t="shared" si="16"/>
        <v>1800000</v>
      </c>
      <c r="L68" s="6">
        <f t="shared" si="16"/>
        <v>1800000</v>
      </c>
      <c r="M68" s="6">
        <f t="shared" si="16"/>
        <v>1800000</v>
      </c>
      <c r="N68" s="6">
        <f t="shared" si="16"/>
        <v>1800000</v>
      </c>
      <c r="O68" s="6">
        <f t="shared" si="16"/>
        <v>1800000</v>
      </c>
    </row>
    <row r="69" spans="1:15" s="29" customFormat="1" ht="14">
      <c r="A69" s="166" t="s">
        <v>149</v>
      </c>
      <c r="B69" s="167"/>
      <c r="D69" s="6">
        <f>700*$B$2*12</f>
        <v>840000</v>
      </c>
      <c r="E69" s="6">
        <f t="shared" ref="E69:O69" si="17">700*$B$2*12</f>
        <v>840000</v>
      </c>
      <c r="F69" s="6">
        <f t="shared" si="17"/>
        <v>840000</v>
      </c>
      <c r="G69" s="6">
        <f t="shared" si="17"/>
        <v>840000</v>
      </c>
      <c r="H69" s="6">
        <f t="shared" si="17"/>
        <v>840000</v>
      </c>
      <c r="I69" s="6">
        <f t="shared" si="17"/>
        <v>840000</v>
      </c>
      <c r="J69" s="6">
        <f t="shared" si="17"/>
        <v>840000</v>
      </c>
      <c r="K69" s="6">
        <f t="shared" si="17"/>
        <v>840000</v>
      </c>
      <c r="L69" s="6">
        <f t="shared" si="17"/>
        <v>840000</v>
      </c>
      <c r="M69" s="6">
        <f t="shared" si="17"/>
        <v>840000</v>
      </c>
      <c r="N69" s="6">
        <f t="shared" si="17"/>
        <v>840000</v>
      </c>
      <c r="O69" s="6">
        <f t="shared" si="17"/>
        <v>840000</v>
      </c>
    </row>
    <row r="70" spans="1:15" s="187" customFormat="1" ht="14">
      <c r="A70" s="184" t="s">
        <v>127</v>
      </c>
      <c r="B70" s="186"/>
      <c r="D70" s="188">
        <f>SUM(D58:D69)</f>
        <v>9772011.71875</v>
      </c>
      <c r="E70" s="188">
        <f t="shared" ref="E70:M70" si="18">SUM(E58:E69)</f>
        <v>9772011.71875</v>
      </c>
      <c r="F70" s="188">
        <f t="shared" si="18"/>
        <v>9772011.71875</v>
      </c>
      <c r="G70" s="188">
        <f t="shared" si="18"/>
        <v>9772011.71875</v>
      </c>
      <c r="H70" s="188">
        <f t="shared" si="18"/>
        <v>9772011.71875</v>
      </c>
      <c r="I70" s="188">
        <f t="shared" si="18"/>
        <v>9772011.71875</v>
      </c>
      <c r="J70" s="188">
        <f t="shared" si="18"/>
        <v>9772011.71875</v>
      </c>
      <c r="K70" s="188">
        <f t="shared" si="18"/>
        <v>9772011.71875</v>
      </c>
      <c r="L70" s="188">
        <f t="shared" si="18"/>
        <v>9772011.71875</v>
      </c>
      <c r="M70" s="188">
        <f t="shared" si="18"/>
        <v>9772011.71875</v>
      </c>
      <c r="N70" s="188">
        <f t="shared" ref="N70:O70" si="19">SUM(N58:N69)</f>
        <v>9772011.71875</v>
      </c>
      <c r="O70" s="188">
        <f t="shared" si="19"/>
        <v>9772011.71875</v>
      </c>
    </row>
    <row r="71" spans="1:15" s="4" customFormat="1" thickBot="1">
      <c r="A71" s="4" t="s">
        <v>125</v>
      </c>
      <c r="C71" s="6"/>
      <c r="D71" s="6">
        <f>$B$10*$B$2</f>
        <v>27000000</v>
      </c>
      <c r="E71" s="6">
        <f t="shared" ref="E71:O71" si="20">$B$10*$B$2</f>
        <v>27000000</v>
      </c>
      <c r="F71" s="6">
        <f t="shared" si="20"/>
        <v>27000000</v>
      </c>
      <c r="G71" s="6">
        <f t="shared" si="20"/>
        <v>27000000</v>
      </c>
      <c r="H71" s="6">
        <f t="shared" si="20"/>
        <v>27000000</v>
      </c>
      <c r="I71" s="6">
        <f t="shared" si="20"/>
        <v>27000000</v>
      </c>
      <c r="J71" s="6">
        <f t="shared" si="20"/>
        <v>27000000</v>
      </c>
      <c r="K71" s="6">
        <f t="shared" si="20"/>
        <v>27000000</v>
      </c>
      <c r="L71" s="6">
        <f t="shared" si="20"/>
        <v>27000000</v>
      </c>
      <c r="M71" s="6">
        <f t="shared" si="20"/>
        <v>27000000</v>
      </c>
      <c r="N71" s="6">
        <f t="shared" si="20"/>
        <v>27000000</v>
      </c>
      <c r="O71" s="6">
        <f t="shared" si="20"/>
        <v>27000000</v>
      </c>
    </row>
    <row r="72" spans="1:15" s="170" customFormat="1" thickBot="1">
      <c r="A72" s="170" t="s">
        <v>126</v>
      </c>
      <c r="D72" s="171">
        <f>D71-D70</f>
        <v>17227988.28125</v>
      </c>
      <c r="E72" s="171">
        <f t="shared" ref="E72:O72" si="21">E71-E70</f>
        <v>17227988.28125</v>
      </c>
      <c r="F72" s="171">
        <f t="shared" si="21"/>
        <v>17227988.28125</v>
      </c>
      <c r="G72" s="171">
        <f t="shared" si="21"/>
        <v>17227988.28125</v>
      </c>
      <c r="H72" s="171">
        <f t="shared" si="21"/>
        <v>17227988.28125</v>
      </c>
      <c r="I72" s="171">
        <f t="shared" si="21"/>
        <v>17227988.28125</v>
      </c>
      <c r="J72" s="171">
        <f t="shared" si="21"/>
        <v>17227988.28125</v>
      </c>
      <c r="K72" s="171">
        <f t="shared" si="21"/>
        <v>17227988.28125</v>
      </c>
      <c r="L72" s="171">
        <f t="shared" si="21"/>
        <v>17227988.28125</v>
      </c>
      <c r="M72" s="171">
        <f t="shared" si="21"/>
        <v>17227988.28125</v>
      </c>
      <c r="N72" s="171">
        <f t="shared" si="21"/>
        <v>17227988.28125</v>
      </c>
      <c r="O72" s="171">
        <f t="shared" si="21"/>
        <v>17227988.28125</v>
      </c>
    </row>
    <row r="73" spans="1:15" s="29" customFormat="1" ht="14">
      <c r="C73" s="29">
        <v>0</v>
      </c>
      <c r="D73" s="29">
        <v>1</v>
      </c>
      <c r="E73" s="29">
        <v>2</v>
      </c>
      <c r="F73" s="29">
        <v>3</v>
      </c>
      <c r="G73" s="29">
        <v>4</v>
      </c>
      <c r="H73" s="29">
        <v>5</v>
      </c>
      <c r="I73" s="29">
        <v>6</v>
      </c>
      <c r="J73" s="29">
        <v>7</v>
      </c>
      <c r="K73" s="29">
        <v>8</v>
      </c>
      <c r="L73" s="29">
        <v>9</v>
      </c>
      <c r="M73" s="29">
        <v>10</v>
      </c>
      <c r="N73" s="29">
        <v>11</v>
      </c>
      <c r="O73" s="29">
        <v>12</v>
      </c>
    </row>
    <row r="74" spans="1:15" s="29" customFormat="1" ht="14">
      <c r="D74" s="29">
        <f>(D72)/(1+$B$9)^D73</f>
        <v>15382132.393973213</v>
      </c>
      <c r="E74" s="29">
        <f t="shared" ref="E74:O74" si="22">(E72)/(1+$B$9)^E73</f>
        <v>13734046.780333225</v>
      </c>
      <c r="F74" s="29">
        <f t="shared" si="22"/>
        <v>12262541.768154664</v>
      </c>
      <c r="G74" s="29">
        <f t="shared" si="22"/>
        <v>10948698.00728095</v>
      </c>
      <c r="H74" s="29">
        <f t="shared" si="22"/>
        <v>9775623.2207865622</v>
      </c>
      <c r="I74" s="29">
        <f t="shared" si="22"/>
        <v>8728235.0185594298</v>
      </c>
      <c r="J74" s="29">
        <f t="shared" si="22"/>
        <v>7793066.9808566328</v>
      </c>
      <c r="K74" s="29">
        <f t="shared" si="22"/>
        <v>6958095.5186219933</v>
      </c>
      <c r="L74" s="29">
        <f t="shared" si="22"/>
        <v>6212585.2844839226</v>
      </c>
      <c r="M74" s="29">
        <f t="shared" si="22"/>
        <v>5546951.1468606442</v>
      </c>
      <c r="N74" s="29">
        <f t="shared" si="22"/>
        <v>4952634.9525541458</v>
      </c>
      <c r="O74" s="29">
        <f t="shared" si="22"/>
        <v>4421995.4933519168</v>
      </c>
    </row>
    <row r="75" spans="1:15" s="29" customFormat="1" ht="14"/>
    <row r="76" spans="1:15">
      <c r="C76" t="s">
        <v>130</v>
      </c>
      <c r="D76" s="1">
        <f>SUM(D74:M74)-C58</f>
        <v>97151976.119911239</v>
      </c>
    </row>
  </sheetData>
  <pageMargins left="0.75" right="0.75" top="1" bottom="1" header="0.5" footer="0.5"/>
  <pageSetup orientation="portrait" horizontalDpi="4294967292" verticalDpi="4294967292"/>
  <legacy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14</vt:i4>
      </vt:variant>
    </vt:vector>
  </HeadingPairs>
  <TitlesOfParts>
    <vt:vector size="14" baseType="lpstr">
      <vt:lpstr>RESUMEN</vt:lpstr>
      <vt:lpstr>RESUMEN INGRESOS</vt:lpstr>
      <vt:lpstr>Costos Unitarios</vt:lpstr>
      <vt:lpstr>Híbrido DELTA (2)</vt:lpstr>
      <vt:lpstr>Electrico DELTA</vt:lpstr>
      <vt:lpstr>Gas DELTA</vt:lpstr>
      <vt:lpstr>Híbrido DELTA</vt:lpstr>
      <vt:lpstr>Híbrido</vt:lpstr>
      <vt:lpstr>Diesel</vt:lpstr>
      <vt:lpstr>Consultas</vt:lpstr>
      <vt:lpstr>Draft</vt:lpstr>
      <vt:lpstr>Buses Variables</vt:lpstr>
      <vt:lpstr>RRHH y OP Híbrido</vt:lpstr>
      <vt:lpstr>Hoja3</vt:lpstr>
    </vt:vector>
  </TitlesOfParts>
  <Company>Productora Circo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Catalina Galvez Gutierrez</dc:creator>
  <cp:lastModifiedBy>Catalina Galvez Gutierrez</cp:lastModifiedBy>
  <dcterms:created xsi:type="dcterms:W3CDTF">2014-06-24T13:23:54Z</dcterms:created>
  <dcterms:modified xsi:type="dcterms:W3CDTF">2014-08-04T14:11:19Z</dcterms:modified>
</cp:coreProperties>
</file>